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20" yWindow="60" windowWidth="7545" windowHeight="4965" tabRatio="417" firstSheet="10" activeTab="10"/>
  </bookViews>
  <sheets>
    <sheet name="Cover" sheetId="1" state="hidden" r:id="rId1"/>
    <sheet name="Info" sheetId="2" state="hidden" r:id="rId2"/>
    <sheet name="Audit" sheetId="3" state="hidden" r:id="rId3"/>
    <sheet name="Soil-G" sheetId="4" state="hidden" r:id="rId4"/>
    <sheet name="G (jap)" sheetId="5" state="hidden" r:id="rId5"/>
    <sheet name="Soil-T" sheetId="6" state="hidden" r:id="rId6"/>
    <sheet name="T (jap)" sheetId="7" state="hidden" r:id="rId7"/>
    <sheet name="Soil-F" sheetId="8" state="hidden" r:id="rId8"/>
    <sheet name="F (jap)" sheetId="9" state="hidden" r:id="rId9"/>
    <sheet name="Soil Needs" sheetId="10" state="hidden" r:id="rId10"/>
    <sheet name="肥料設計" sheetId="11" r:id="rId11"/>
    <sheet name="Products" sheetId="12" state="hidden" r:id="rId12"/>
    <sheet name="Products (Jap)" sheetId="13" state="hidden" r:id="rId13"/>
  </sheets>
  <definedNames>
    <definedName name="JAPDATES">#REF!</definedName>
    <definedName name="JAPNAMES">#REF!</definedName>
    <definedName name="_xlnm.Print_Area" localSheetId="11">'Products'!$A$1:$V$30</definedName>
    <definedName name="_xlnm.Print_Area" localSheetId="10">'肥料設計'!$A$1:$AH$116</definedName>
    <definedName name="_xlnm.Print_Titles" localSheetId="10">'肥料設計'!$1:$2</definedName>
    <definedName name="ProductList">'肥料設計'!$AL$7:$AZ$27</definedName>
  </definedNames>
  <calcPr fullCalcOnLoad="1"/>
</workbook>
</file>

<file path=xl/sharedStrings.xml><?xml version="1.0" encoding="utf-8"?>
<sst xmlns="http://schemas.openxmlformats.org/spreadsheetml/2006/main" count="1086" uniqueCount="307">
  <si>
    <t>AGRONOMY PLAN</t>
  </si>
  <si>
    <t xml:space="preserve"> </t>
  </si>
  <si>
    <t>Date:</t>
  </si>
  <si>
    <t>M2</t>
  </si>
  <si>
    <t>Acres</t>
  </si>
  <si>
    <t>G/M2</t>
  </si>
  <si>
    <t>Lbs/M</t>
  </si>
  <si>
    <t>Lbs/A</t>
  </si>
  <si>
    <t>Greens</t>
  </si>
  <si>
    <t>Tees</t>
  </si>
  <si>
    <t>Fairways</t>
  </si>
  <si>
    <t>Roughs</t>
  </si>
  <si>
    <t>Water Surfaces</t>
  </si>
  <si>
    <t>Landscape</t>
  </si>
  <si>
    <t>Sand Bunkers</t>
  </si>
  <si>
    <t>Total</t>
  </si>
  <si>
    <t>Total Grams</t>
  </si>
  <si>
    <t>Total Pounds</t>
  </si>
  <si>
    <t>Course Name:</t>
  </si>
  <si>
    <t>AREA CALCULATIONS</t>
  </si>
  <si>
    <t>ANNUAL NITROGEN</t>
  </si>
  <si>
    <t>Miscellaneous</t>
  </si>
  <si>
    <t>Cart Trails</t>
  </si>
  <si>
    <t>土壌検査</t>
  </si>
  <si>
    <t>SOIL AUDIT REPORT</t>
  </si>
  <si>
    <t>Date/日付</t>
  </si>
  <si>
    <t>Date/日付:</t>
  </si>
  <si>
    <t>pH</t>
  </si>
  <si>
    <t>ppm</t>
  </si>
  <si>
    <t>PPM</t>
  </si>
  <si>
    <t>Calcium</t>
  </si>
  <si>
    <t>カルシウム</t>
  </si>
  <si>
    <t>Ca</t>
  </si>
  <si>
    <t>Magnesium</t>
  </si>
  <si>
    <t>マグネシウム</t>
  </si>
  <si>
    <t>Mg</t>
  </si>
  <si>
    <t>Potassium</t>
  </si>
  <si>
    <t>カリウム</t>
  </si>
  <si>
    <t>K</t>
  </si>
  <si>
    <t>Sodium</t>
  </si>
  <si>
    <t>ナトリウム</t>
  </si>
  <si>
    <t>Iron</t>
  </si>
  <si>
    <t>鉄</t>
  </si>
  <si>
    <t>Fe</t>
  </si>
  <si>
    <t>Boron</t>
  </si>
  <si>
    <t>Manganese</t>
  </si>
  <si>
    <t>Mn</t>
  </si>
  <si>
    <t>Copper</t>
  </si>
  <si>
    <t>銅</t>
  </si>
  <si>
    <t>Cu</t>
  </si>
  <si>
    <t>Zinc</t>
  </si>
  <si>
    <t>亜鉛</t>
  </si>
  <si>
    <t>Zn</t>
  </si>
  <si>
    <t>Aluminum</t>
  </si>
  <si>
    <t>アルミ二ウム</t>
  </si>
  <si>
    <t>Al</t>
  </si>
  <si>
    <t>Date (日付):</t>
  </si>
  <si>
    <t>TROON GOLF</t>
  </si>
  <si>
    <t>SOIL AUDIT SHEET/土壌検査:</t>
  </si>
  <si>
    <t>Area/場所:</t>
  </si>
  <si>
    <t xml:space="preserve">平均値 </t>
  </si>
  <si>
    <t>目標</t>
  </si>
  <si>
    <t>Sample #</t>
  </si>
  <si>
    <t>サンプル＃</t>
  </si>
  <si>
    <t>Average</t>
  </si>
  <si>
    <t>Desired</t>
  </si>
  <si>
    <t>(+/-)</t>
  </si>
  <si>
    <t>CEC</t>
  </si>
  <si>
    <t>meq/100g</t>
  </si>
  <si>
    <t>pH (1:1)</t>
  </si>
  <si>
    <t>(1:1)</t>
  </si>
  <si>
    <t>Organic Matter</t>
  </si>
  <si>
    <t>有機物</t>
  </si>
  <si>
    <t>%</t>
  </si>
  <si>
    <t>Anions</t>
  </si>
  <si>
    <t>陰イオン</t>
  </si>
  <si>
    <t>Nitrogen Release</t>
  </si>
  <si>
    <t>窒素</t>
  </si>
  <si>
    <t>g/m2</t>
  </si>
  <si>
    <t>Soluble Sulfur</t>
  </si>
  <si>
    <t>可溶性イオウ</t>
  </si>
  <si>
    <t>Phosphate (EE)</t>
  </si>
  <si>
    <t>リン</t>
  </si>
  <si>
    <t>Phosphate (BrayII)</t>
  </si>
  <si>
    <t>Cations</t>
  </si>
  <si>
    <t>陽イオン</t>
  </si>
  <si>
    <t>Base Saturation</t>
  </si>
  <si>
    <t>飽和量</t>
  </si>
  <si>
    <t>Extractable Minors</t>
  </si>
  <si>
    <t>栄養物その他</t>
  </si>
  <si>
    <t>Boron (B)</t>
  </si>
  <si>
    <t>硼素</t>
  </si>
  <si>
    <t>Iron (Fe)</t>
  </si>
  <si>
    <t>Manganese (Mn)</t>
  </si>
  <si>
    <t>マンガン</t>
  </si>
  <si>
    <t>Copper (Cu)</t>
  </si>
  <si>
    <t>Zinc (Zn)</t>
  </si>
  <si>
    <t>Aluminum (Al)</t>
  </si>
  <si>
    <t>Molybdenum (Mo)</t>
  </si>
  <si>
    <t>モリブデン</t>
  </si>
  <si>
    <t>Other</t>
  </si>
  <si>
    <t>その他</t>
  </si>
  <si>
    <t>NO3-N</t>
  </si>
  <si>
    <t>硝酸塩</t>
  </si>
  <si>
    <t>NH3-N</t>
  </si>
  <si>
    <t>アンモ二ウム</t>
  </si>
  <si>
    <t>Soil Audit Report - Summary Sheet</t>
  </si>
  <si>
    <t>Sample Location:</t>
  </si>
  <si>
    <t>Units</t>
  </si>
  <si>
    <t>Desired Range</t>
  </si>
  <si>
    <t>meq/100 g</t>
  </si>
  <si>
    <t>OM%</t>
  </si>
  <si>
    <t>Est NO3 Release</t>
  </si>
  <si>
    <t>lbs/A</t>
  </si>
  <si>
    <t>NO3</t>
  </si>
  <si>
    <t>NH4</t>
  </si>
  <si>
    <t>NO3 + NH4</t>
  </si>
  <si>
    <t>NO3:NH4 Ratio:</t>
  </si>
  <si>
    <t>Ratio</t>
  </si>
  <si>
    <t>Easy Extract P2O5</t>
  </si>
  <si>
    <t>Bray II P2O5</t>
  </si>
  <si>
    <t>Base Saturation %</t>
  </si>
  <si>
    <t>Ratios</t>
  </si>
  <si>
    <t>K:Na</t>
  </si>
  <si>
    <t>Mg:K</t>
  </si>
  <si>
    <t xml:space="preserve">Ca:Mg </t>
  </si>
  <si>
    <t>Metric Conversion Chart</t>
  </si>
  <si>
    <t>SOIL AUDIT SHEET (土壌検査):</t>
  </si>
  <si>
    <t>Area (場所):</t>
  </si>
  <si>
    <t>SOIL AUDIT SHEET (土壌検査)</t>
  </si>
  <si>
    <t>NITROGEN</t>
  </si>
  <si>
    <t>Area (Acres)</t>
  </si>
  <si>
    <t>Area (m2)</t>
  </si>
  <si>
    <t>Applied Lbs/M</t>
  </si>
  <si>
    <t>Applied Lbs/Acre</t>
  </si>
  <si>
    <t>Applied g/m2</t>
  </si>
  <si>
    <t>Grams w/OL</t>
  </si>
  <si>
    <t>Pounds w/OL</t>
  </si>
  <si>
    <t>Fertilzation Needs from Audit</t>
  </si>
  <si>
    <t>Nutrient</t>
  </si>
  <si>
    <t>N</t>
  </si>
  <si>
    <t>P</t>
  </si>
  <si>
    <t>B</t>
  </si>
  <si>
    <t>ratio</t>
  </si>
  <si>
    <t>Year:</t>
  </si>
  <si>
    <t>GREENS</t>
  </si>
  <si>
    <t>TEES</t>
  </si>
  <si>
    <t>FAIRWAYS</t>
  </si>
  <si>
    <t>Square Feet</t>
  </si>
  <si>
    <t>農学計画</t>
  </si>
  <si>
    <t>#14</t>
  </si>
  <si>
    <t>Oga Golf Club</t>
  </si>
  <si>
    <t>#4</t>
  </si>
  <si>
    <t>#7</t>
  </si>
  <si>
    <t>#13</t>
  </si>
  <si>
    <t>#15</t>
  </si>
  <si>
    <t>#2</t>
  </si>
  <si>
    <t>#16</t>
  </si>
  <si>
    <t>男　鹿　ゴ　ル　フ　ク　ラ　ブ</t>
  </si>
  <si>
    <t>Bag Size</t>
  </si>
  <si>
    <t>Price/Bag</t>
  </si>
  <si>
    <t>Ammonium Sulfate</t>
  </si>
  <si>
    <t>Bentgrass 28</t>
  </si>
  <si>
    <t>BestPhos</t>
  </si>
  <si>
    <t>PRODUCT</t>
  </si>
  <si>
    <t>S</t>
  </si>
  <si>
    <t>No. Bags</t>
  </si>
  <si>
    <t>Cascade K (PCU) Polyon</t>
  </si>
  <si>
    <t>Complete K</t>
  </si>
  <si>
    <t>Dolimitic Lime</t>
  </si>
  <si>
    <t>Fairway 44 w/ Trikote</t>
  </si>
  <si>
    <t>Greens King 10-21-21</t>
  </si>
  <si>
    <t>Greens King 17-3-19</t>
  </si>
  <si>
    <t>Greens King 18-2-24</t>
  </si>
  <si>
    <t>Greens King 20-3-20</t>
  </si>
  <si>
    <t>High Cal</t>
  </si>
  <si>
    <t>Nissen Agri 8-8-8 40% OM</t>
  </si>
  <si>
    <t>SOP Greens Grade</t>
  </si>
  <si>
    <t>SOP Soluble Fines</t>
  </si>
  <si>
    <t>Super Cal</t>
  </si>
  <si>
    <t xml:space="preserve">Super Turf </t>
  </si>
  <si>
    <t>Triple Pro</t>
  </si>
  <si>
    <t>Triple Twelve</t>
  </si>
  <si>
    <t xml:space="preserve">Yucon </t>
  </si>
  <si>
    <t>Zenno 8-8-8 40% OM</t>
  </si>
  <si>
    <t>硫酸アンモン</t>
  </si>
  <si>
    <t xml:space="preserve">ベントグラス28 </t>
  </si>
  <si>
    <t>袋サイズ</t>
  </si>
  <si>
    <t>苦土石灰　</t>
  </si>
  <si>
    <t xml:space="preserve">フェアウェー４４ </t>
  </si>
  <si>
    <t xml:space="preserve">グリーンキング１０ </t>
  </si>
  <si>
    <t xml:space="preserve">グリーンキング２０ </t>
  </si>
  <si>
    <t>ハイカル</t>
  </si>
  <si>
    <t xml:space="preserve">(硫酸カリ　グリーングレード) </t>
  </si>
  <si>
    <t xml:space="preserve">硫酸カリ　水溶性粉剤 </t>
  </si>
  <si>
    <t xml:space="preserve">スーパーカル </t>
  </si>
  <si>
    <t xml:space="preserve">トリプルプロ </t>
  </si>
  <si>
    <t>ゆうこん</t>
  </si>
  <si>
    <t>全農 8-8-8 (サンパチ) 40% OM</t>
  </si>
  <si>
    <t>4月</t>
  </si>
  <si>
    <t>8月</t>
  </si>
  <si>
    <t>12月</t>
  </si>
  <si>
    <t>2月</t>
  </si>
  <si>
    <t>7月</t>
  </si>
  <si>
    <t>6月</t>
  </si>
  <si>
    <t>3月</t>
  </si>
  <si>
    <t>5月</t>
  </si>
  <si>
    <t>11月</t>
  </si>
  <si>
    <t>10月</t>
  </si>
  <si>
    <t>9月</t>
  </si>
  <si>
    <t>PRODUCT LIST</t>
  </si>
  <si>
    <t>FX Rate</t>
  </si>
  <si>
    <t>Nutrient Analaysis</t>
  </si>
  <si>
    <t>Eng. Units/US$</t>
  </si>
  <si>
    <t>Metric/JPY</t>
  </si>
  <si>
    <t>VENDOR</t>
  </si>
  <si>
    <t>Cost/Bag</t>
  </si>
  <si>
    <t>Cost/Bag (site)</t>
  </si>
  <si>
    <t>Unit Cost</t>
  </si>
  <si>
    <t>N/gr</t>
  </si>
  <si>
    <t>Simplot</t>
  </si>
  <si>
    <t>Nissen Agri</t>
  </si>
  <si>
    <t>Zenno</t>
  </si>
  <si>
    <t>要素分析</t>
  </si>
  <si>
    <t>ポンドあたりの価格/USドル</t>
  </si>
  <si>
    <t>業者</t>
  </si>
  <si>
    <t xml:space="preserve">製品名 </t>
  </si>
  <si>
    <t>一袋あたり
価格</t>
  </si>
  <si>
    <t>一袋あたり価格 (現地)</t>
  </si>
  <si>
    <t>単価 (KG)</t>
  </si>
  <si>
    <t>N/グラム</t>
  </si>
  <si>
    <t>ベストフォス（微細粒）</t>
  </si>
  <si>
    <t>スーパーターフ　ポリヨン＆トライコート14%</t>
  </si>
  <si>
    <t>コンプリート　K　トライコート　15.5%</t>
  </si>
  <si>
    <t xml:space="preserve">カスケード　K　ポリヨン </t>
  </si>
  <si>
    <t xml:space="preserve">グリーンキング１７ </t>
  </si>
  <si>
    <t xml:space="preserve">グリーンキング１８ </t>
  </si>
  <si>
    <t>日産アグ</t>
  </si>
  <si>
    <t>日産アグ 8-8-8 40% OM</t>
  </si>
  <si>
    <t>トリプル１２</t>
  </si>
  <si>
    <t xml:space="preserve">全農 </t>
  </si>
  <si>
    <r>
      <t>P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O</t>
    </r>
    <r>
      <rPr>
        <vertAlign val="subscript"/>
        <sz val="8"/>
        <rFont val="Tahoma"/>
        <family val="2"/>
      </rPr>
      <t>5</t>
    </r>
  </si>
  <si>
    <r>
      <t>K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>0</t>
    </r>
  </si>
  <si>
    <r>
      <t>P</t>
    </r>
    <r>
      <rPr>
        <vertAlign val="subscript"/>
        <sz val="8"/>
        <rFont val="HGSｺﾞｼｯｸM"/>
        <family val="3"/>
      </rPr>
      <t>2</t>
    </r>
    <r>
      <rPr>
        <sz val="8"/>
        <rFont val="HGSｺﾞｼｯｸM"/>
        <family val="3"/>
      </rPr>
      <t>O</t>
    </r>
    <r>
      <rPr>
        <vertAlign val="subscript"/>
        <sz val="8"/>
        <rFont val="HGSｺﾞｼｯｸM"/>
        <family val="3"/>
      </rPr>
      <t>5</t>
    </r>
  </si>
  <si>
    <r>
      <t>K</t>
    </r>
    <r>
      <rPr>
        <vertAlign val="subscript"/>
        <sz val="8"/>
        <rFont val="HGSｺﾞｼｯｸM"/>
        <family val="3"/>
      </rPr>
      <t>2</t>
    </r>
    <r>
      <rPr>
        <sz val="8"/>
        <rFont val="HGSｺﾞｼｯｸM"/>
        <family val="3"/>
      </rPr>
      <t>0</t>
    </r>
  </si>
  <si>
    <t>ゴルフ場名：</t>
  </si>
  <si>
    <t>カスケードK</t>
  </si>
  <si>
    <t>コンプリートK</t>
  </si>
  <si>
    <t>スーパーターフ</t>
  </si>
  <si>
    <t>ユーマックス２４</t>
  </si>
  <si>
    <t>ユーマックス１９</t>
  </si>
  <si>
    <t>ショートカット２２</t>
  </si>
  <si>
    <t>ソイルバスター</t>
  </si>
  <si>
    <t>ユーマックス４６</t>
  </si>
  <si>
    <t>マイクログリーン１０</t>
  </si>
  <si>
    <t>グリーンズキング２０</t>
  </si>
  <si>
    <t>グリーンズキング１８</t>
  </si>
  <si>
    <t>グリーンズキング１７</t>
  </si>
  <si>
    <t>グリーンズキング１０</t>
  </si>
  <si>
    <t>ユーマックスミニ２４</t>
  </si>
  <si>
    <t>グリーン</t>
  </si>
  <si>
    <t>㎡</t>
  </si>
  <si>
    <t>月</t>
  </si>
  <si>
    <t>商品</t>
  </si>
  <si>
    <t>成分</t>
  </si>
  <si>
    <t>荷姿</t>
  </si>
  <si>
    <t>必要数量</t>
  </si>
  <si>
    <t>単価(円/袋)</t>
  </si>
  <si>
    <t>合計金額</t>
  </si>
  <si>
    <t>g/年</t>
  </si>
  <si>
    <t>必要量</t>
  </si>
  <si>
    <t>不足分</t>
  </si>
  <si>
    <t>判定</t>
  </si>
  <si>
    <t>予算</t>
  </si>
  <si>
    <t>過不足(+/-)</t>
  </si>
  <si>
    <t>ティー</t>
  </si>
  <si>
    <t>フェアウェー</t>
  </si>
  <si>
    <t>ラフ</t>
  </si>
  <si>
    <t>1月</t>
  </si>
  <si>
    <t>g or cc/m2</t>
  </si>
  <si>
    <t>散布成分量 (g or cc/m2)</t>
  </si>
  <si>
    <t>合計数量(KG or L)</t>
  </si>
  <si>
    <t>シグネチャー・キレートアイアン</t>
  </si>
  <si>
    <t>シグネチャー・キレートマグネシウム</t>
  </si>
  <si>
    <t>シグネチャー・アイアンプラス</t>
  </si>
  <si>
    <t>シグネチャー・リキッドケルプ</t>
  </si>
  <si>
    <t>シグネチャー・オーガニック</t>
  </si>
  <si>
    <t>シグネチャー・コントロールＰＫ</t>
  </si>
  <si>
    <t>シグネチャー・トレース</t>
  </si>
  <si>
    <t>シンプロット　ソーカル</t>
  </si>
  <si>
    <t>シンプロット　オーガニックプラス</t>
  </si>
  <si>
    <t>リキマックス　グリーンマックス</t>
  </si>
  <si>
    <t>リキマックス４０</t>
  </si>
  <si>
    <t>リキマックス１０</t>
  </si>
  <si>
    <t>リキマックス１２</t>
  </si>
  <si>
    <t>Mo</t>
  </si>
  <si>
    <t>ベスト・エクステンド</t>
  </si>
  <si>
    <t>ポリヨンコーティングカリ</t>
  </si>
  <si>
    <t>ユーフレックス46</t>
  </si>
  <si>
    <t>ポリヨン４２</t>
  </si>
  <si>
    <t>ショートカット１６</t>
  </si>
  <si>
    <t>ターフシュープリーム</t>
  </si>
  <si>
    <t>ユーフレックス２５</t>
  </si>
  <si>
    <t>リキマックストリプル１０</t>
  </si>
  <si>
    <t>シンプロット・リキッドシリカ</t>
  </si>
  <si>
    <t>シンプロット・ドロップゾーン</t>
  </si>
  <si>
    <t>グリーンズキング２０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</si>
</sst>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0_);[Red]\(0.00\)"/>
    <numFmt numFmtId="186" formatCode="0.0"/>
    <numFmt numFmtId="187" formatCode="&quot;$&quot;#,##0"/>
    <numFmt numFmtId="188" formatCode="mmmm\-yy"/>
    <numFmt numFmtId="189" formatCode="[$JPY]\ 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  <numFmt numFmtId="194" formatCode="dd\-mmm\-yy_)"/>
    <numFmt numFmtId="195" formatCode="0_);[Red]\(0\)"/>
    <numFmt numFmtId="196" formatCode="&quot;$&quot;#,##0.00"/>
    <numFmt numFmtId="197" formatCode="_(* #,##0_);_(* \(#,##0\);_(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0.0000"/>
    <numFmt numFmtId="207" formatCode="0.000"/>
    <numFmt numFmtId="208" formatCode="\=\l\k\u\p\ &quot;Yearly Program&quot;\!\A\J\2"/>
    <numFmt numFmtId="209" formatCode="_(* #,##0.0_);_(* \(#,##0.0\);_(* &quot;-&quot;??_);_(@_)"/>
    <numFmt numFmtId="210" formatCode="&quot;$&quot;#,##0.0"/>
    <numFmt numFmtId="211" formatCode="0.00;[Red]0.00"/>
    <numFmt numFmtId="212" formatCode="0.0_);[Red]\(0.0\)"/>
    <numFmt numFmtId="213" formatCode="0.0;[Red]0.0"/>
    <numFmt numFmtId="214" formatCode="0.0_ "/>
  </numFmts>
  <fonts count="45">
    <font>
      <sz val="10"/>
      <name val="Arial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sz val="14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2"/>
      <name val="Tahoma"/>
      <family val="2"/>
    </font>
    <font>
      <b/>
      <sz val="3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26"/>
      <name val="ＭＳ Ｐゴシック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ＭＳ Ｐゴシック"/>
      <family val="3"/>
    </font>
    <font>
      <sz val="8"/>
      <name val="ＭＳ Ｐゴシック"/>
      <family val="3"/>
    </font>
    <font>
      <vertAlign val="subscript"/>
      <sz val="8"/>
      <name val="Tahoma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sz val="9"/>
      <name val="MS UI Gothic"/>
      <family val="3"/>
    </font>
    <font>
      <sz val="10"/>
      <name val="HGSｺﾞｼｯｸM"/>
      <family val="3"/>
    </font>
    <font>
      <sz val="8"/>
      <name val="HGSｺﾞｼｯｸM"/>
      <family val="3"/>
    </font>
    <font>
      <vertAlign val="subscript"/>
      <sz val="8"/>
      <name val="HGSｺﾞｼｯｸM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b/>
      <sz val="9"/>
      <name val="HGSｺﾞｼｯｸM"/>
      <family val="3"/>
    </font>
    <font>
      <b/>
      <sz val="8"/>
      <name val="HGSｺﾞｼｯｸM"/>
      <family val="3"/>
    </font>
    <font>
      <sz val="9"/>
      <name val="HGSｺﾞｼｯｸM"/>
      <family val="3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 style="thick"/>
      <right style="dotted"/>
      <top style="double"/>
      <bottom style="thin"/>
    </border>
    <border>
      <left style="dotted"/>
      <right style="double"/>
      <top style="double"/>
      <bottom style="thin"/>
    </border>
    <border>
      <left style="double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ck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ck"/>
      <right style="dotted"/>
      <top style="thin"/>
      <bottom style="double"/>
    </border>
    <border>
      <left style="dotted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/>
    </xf>
    <xf numFmtId="40" fontId="14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0" fontId="14" fillId="0" borderId="5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0" fontId="14" fillId="0" borderId="6" xfId="0" applyNumberFormat="1" applyFont="1" applyBorder="1" applyAlignment="1">
      <alignment horizontal="center"/>
    </xf>
    <xf numFmtId="0" fontId="14" fillId="0" borderId="4" xfId="0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40" fontId="15" fillId="2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8" xfId="0" applyFont="1" applyBorder="1" applyAlignment="1">
      <alignment horizontal="center"/>
    </xf>
    <xf numFmtId="186" fontId="14" fillId="3" borderId="9" xfId="0" applyNumberFormat="1" applyFont="1" applyFill="1" applyBorder="1" applyAlignment="1">
      <alignment horizontal="center"/>
    </xf>
    <xf numFmtId="40" fontId="14" fillId="3" borderId="10" xfId="0" applyNumberFormat="1" applyFont="1" applyFill="1" applyBorder="1" applyAlignment="1">
      <alignment horizontal="center"/>
    </xf>
    <xf numFmtId="2" fontId="14" fillId="3" borderId="9" xfId="0" applyNumberFormat="1" applyFont="1" applyFill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86" fontId="14" fillId="3" borderId="2" xfId="0" applyNumberFormat="1" applyFont="1" applyFill="1" applyBorder="1" applyAlignment="1">
      <alignment horizontal="center"/>
    </xf>
    <xf numFmtId="40" fontId="14" fillId="3" borderId="3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186" fontId="14" fillId="3" borderId="8" xfId="0" applyNumberFormat="1" applyFont="1" applyFill="1" applyBorder="1" applyAlignment="1">
      <alignment horizontal="center"/>
    </xf>
    <xf numFmtId="1" fontId="14" fillId="3" borderId="9" xfId="0" applyNumberFormat="1" applyFont="1" applyFill="1" applyBorder="1" applyAlignment="1">
      <alignment horizontal="center"/>
    </xf>
    <xf numFmtId="1" fontId="14" fillId="3" borderId="8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40" fontId="14" fillId="3" borderId="5" xfId="0" applyNumberFormat="1" applyFont="1" applyFill="1" applyBorder="1" applyAlignment="1">
      <alignment horizontal="center"/>
    </xf>
    <xf numFmtId="0" fontId="16" fillId="0" borderId="4" xfId="0" applyFont="1" applyBorder="1" applyAlignment="1">
      <alignment/>
    </xf>
    <xf numFmtId="40" fontId="14" fillId="3" borderId="6" xfId="0" applyNumberFormat="1" applyFont="1" applyFill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193" fontId="14" fillId="0" borderId="8" xfId="0" applyNumberFormat="1" applyFont="1" applyBorder="1" applyAlignment="1">
      <alignment horizontal="center"/>
    </xf>
    <xf numFmtId="193" fontId="14" fillId="3" borderId="8" xfId="0" applyNumberFormat="1" applyFont="1" applyFill="1" applyBorder="1" applyAlignment="1">
      <alignment horizontal="center"/>
    </xf>
    <xf numFmtId="9" fontId="14" fillId="3" borderId="8" xfId="0" applyNumberFormat="1" applyFont="1" applyFill="1" applyBorder="1" applyAlignment="1">
      <alignment horizontal="center"/>
    </xf>
    <xf numFmtId="193" fontId="14" fillId="3" borderId="6" xfId="0" applyNumberFormat="1" applyFont="1" applyFill="1" applyBorder="1" applyAlignment="1">
      <alignment horizontal="center"/>
    </xf>
    <xf numFmtId="9" fontId="14" fillId="3" borderId="0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4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40" fontId="14" fillId="0" borderId="0" xfId="0" applyNumberFormat="1" applyFont="1" applyAlignment="1">
      <alignment horizontal="center"/>
    </xf>
    <xf numFmtId="0" fontId="15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9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40" fontId="16" fillId="2" borderId="10" xfId="0" applyNumberFormat="1" applyFont="1" applyFill="1" applyBorder="1" applyAlignment="1">
      <alignment horizontal="center"/>
    </xf>
    <xf numFmtId="185" fontId="14" fillId="0" borderId="5" xfId="0" applyNumberFormat="1" applyFont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/>
    </xf>
    <xf numFmtId="2" fontId="18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15" fontId="1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/>
    </xf>
    <xf numFmtId="2" fontId="18" fillId="0" borderId="8" xfId="0" applyNumberFormat="1" applyFont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2" fontId="18" fillId="3" borderId="8" xfId="0" applyNumberFormat="1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93" fontId="18" fillId="0" borderId="8" xfId="0" applyNumberFormat="1" applyFont="1" applyBorder="1" applyAlignment="1">
      <alignment horizontal="center"/>
    </xf>
    <xf numFmtId="193" fontId="18" fillId="3" borderId="8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193" fontId="18" fillId="3" borderId="9" xfId="0" applyNumberFormat="1" applyFont="1" applyFill="1" applyBorder="1" applyAlignment="1">
      <alignment horizontal="center"/>
    </xf>
    <xf numFmtId="1" fontId="18" fillId="3" borderId="8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13" fillId="0" borderId="3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13" fillId="0" borderId="8" xfId="0" applyNumberFormat="1" applyFont="1" applyBorder="1" applyAlignment="1">
      <alignment horizontal="left"/>
    </xf>
    <xf numFmtId="15" fontId="13" fillId="0" borderId="8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2" fontId="14" fillId="3" borderId="2" xfId="0" applyNumberFormat="1" applyFont="1" applyFill="1" applyBorder="1" applyAlignment="1">
      <alignment horizontal="center"/>
    </xf>
    <xf numFmtId="9" fontId="14" fillId="0" borderId="8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15" fontId="17" fillId="0" borderId="0" xfId="0" applyNumberFormat="1" applyFont="1" applyAlignment="1">
      <alignment horizontal="center"/>
    </xf>
    <xf numFmtId="9" fontId="18" fillId="0" borderId="8" xfId="0" applyNumberFormat="1" applyFont="1" applyBorder="1" applyAlignment="1">
      <alignment horizontal="center"/>
    </xf>
    <xf numFmtId="9" fontId="18" fillId="0" borderId="8" xfId="0" applyNumberFormat="1" applyFont="1" applyFill="1" applyBorder="1" applyAlignment="1">
      <alignment horizontal="center"/>
    </xf>
    <xf numFmtId="9" fontId="18" fillId="3" borderId="8" xfId="0" applyNumberFormat="1" applyFont="1" applyFill="1" applyBorder="1" applyAlignment="1">
      <alignment horizontal="center"/>
    </xf>
    <xf numFmtId="9" fontId="18" fillId="0" borderId="9" xfId="0" applyNumberFormat="1" applyFont="1" applyFill="1" applyBorder="1" applyAlignment="1">
      <alignment horizontal="center"/>
    </xf>
    <xf numFmtId="9" fontId="18" fillId="0" borderId="9" xfId="0" applyNumberFormat="1" applyFont="1" applyBorder="1" applyAlignment="1">
      <alignment horizontal="center"/>
    </xf>
    <xf numFmtId="9" fontId="18" fillId="3" borderId="9" xfId="0" applyNumberFormat="1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6" fillId="2" borderId="7" xfId="0" applyFont="1" applyFill="1" applyBorder="1" applyAlignment="1">
      <alignment horizontal="center"/>
    </xf>
    <xf numFmtId="3" fontId="16" fillId="2" borderId="9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4" fontId="16" fillId="2" borderId="9" xfId="0" applyNumberFormat="1" applyFont="1" applyFill="1" applyBorder="1" applyAlignment="1">
      <alignment horizontal="center"/>
    </xf>
    <xf numFmtId="4" fontId="16" fillId="2" borderId="10" xfId="0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186" fontId="14" fillId="0" borderId="0" xfId="0" applyNumberFormat="1" applyFont="1" applyFill="1" applyBorder="1" applyAlignment="1" applyProtection="1">
      <alignment horizontal="center"/>
      <protection locked="0"/>
    </xf>
    <xf numFmtId="186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4" fillId="0" borderId="11" xfId="0" applyFont="1" applyFill="1" applyBorder="1" applyAlignment="1">
      <alignment/>
    </xf>
    <xf numFmtId="4" fontId="14" fillId="0" borderId="8" xfId="0" applyNumberFormat="1" applyFont="1" applyBorder="1" applyAlignment="1">
      <alignment horizontal="center"/>
    </xf>
    <xf numFmtId="3" fontId="14" fillId="0" borderId="8" xfId="0" applyNumberFormat="1" applyFont="1" applyFill="1" applyBorder="1" applyAlignment="1" applyProtection="1">
      <alignment horizontal="center"/>
      <protection locked="0"/>
    </xf>
    <xf numFmtId="186" fontId="14" fillId="0" borderId="8" xfId="0" applyNumberFormat="1" applyFont="1" applyFill="1" applyBorder="1" applyAlignment="1" applyProtection="1">
      <alignment horizontal="center"/>
      <protection locked="0"/>
    </xf>
    <xf numFmtId="186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1" fontId="14" fillId="0" borderId="8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3" fillId="0" borderId="7" xfId="0" applyFont="1" applyBorder="1" applyAlignment="1">
      <alignment horizontal="left"/>
    </xf>
    <xf numFmtId="3" fontId="13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40" fontId="13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5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7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left"/>
      <protection/>
    </xf>
    <xf numFmtId="0" fontId="7" fillId="4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0" fontId="7" fillId="4" borderId="0" xfId="0" applyNumberFormat="1" applyFont="1" applyFill="1" applyAlignment="1" applyProtection="1">
      <alignment horizontal="left"/>
      <protection/>
    </xf>
    <xf numFmtId="15" fontId="7" fillId="4" borderId="0" xfId="0" applyNumberFormat="1" applyFont="1" applyFill="1" applyAlignment="1" applyProtection="1">
      <alignment horizontal="center"/>
      <protection/>
    </xf>
    <xf numFmtId="0" fontId="9" fillId="4" borderId="1" xfId="0" applyFont="1" applyFill="1" applyBorder="1" applyAlignment="1" applyProtection="1">
      <alignment/>
      <protection/>
    </xf>
    <xf numFmtId="0" fontId="10" fillId="4" borderId="7" xfId="0" applyFont="1" applyFill="1" applyBorder="1" applyAlignment="1" applyProtection="1">
      <alignment horizontal="center"/>
      <protection/>
    </xf>
    <xf numFmtId="0" fontId="10" fillId="4" borderId="9" xfId="0" applyFont="1" applyFill="1" applyBorder="1" applyAlignment="1" applyProtection="1">
      <alignment horizontal="center"/>
      <protection/>
    </xf>
    <xf numFmtId="0" fontId="10" fillId="4" borderId="10" xfId="0" applyFont="1" applyFill="1" applyBorder="1" applyAlignment="1" applyProtection="1">
      <alignment horizontal="center"/>
      <protection/>
    </xf>
    <xf numFmtId="0" fontId="10" fillId="4" borderId="0" xfId="0" applyFont="1" applyFill="1" applyAlignment="1" applyProtection="1">
      <alignment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8" fillId="4" borderId="4" xfId="0" applyFont="1" applyFill="1" applyBorder="1" applyAlignment="1" applyProtection="1">
      <alignment/>
      <protection/>
    </xf>
    <xf numFmtId="3" fontId="8" fillId="4" borderId="0" xfId="0" applyNumberFormat="1" applyFont="1" applyFill="1" applyBorder="1" applyAlignment="1" applyProtection="1">
      <alignment horizontal="center"/>
      <protection/>
    </xf>
    <xf numFmtId="2" fontId="8" fillId="4" borderId="5" xfId="0" applyNumberFormat="1" applyFont="1" applyFill="1" applyBorder="1" applyAlignment="1" applyProtection="1">
      <alignment horizontal="center"/>
      <protection/>
    </xf>
    <xf numFmtId="3" fontId="8" fillId="4" borderId="0" xfId="0" applyNumberFormat="1" applyFont="1" applyFill="1" applyAlignment="1" applyProtection="1">
      <alignment horizontal="center"/>
      <protection/>
    </xf>
    <xf numFmtId="184" fontId="8" fillId="4" borderId="0" xfId="0" applyNumberFormat="1" applyFont="1" applyFill="1" applyAlignment="1" applyProtection="1">
      <alignment horizontal="center"/>
      <protection/>
    </xf>
    <xf numFmtId="4" fontId="8" fillId="4" borderId="0" xfId="0" applyNumberFormat="1" applyFont="1" applyFill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/>
      <protection/>
    </xf>
    <xf numFmtId="3" fontId="8" fillId="4" borderId="8" xfId="0" applyNumberFormat="1" applyFont="1" applyFill="1" applyBorder="1" applyAlignment="1" applyProtection="1">
      <alignment horizontal="center"/>
      <protection/>
    </xf>
    <xf numFmtId="2" fontId="8" fillId="4" borderId="6" xfId="0" applyNumberFormat="1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/>
      <protection/>
    </xf>
    <xf numFmtId="3" fontId="7" fillId="4" borderId="8" xfId="0" applyNumberFormat="1" applyFont="1" applyFill="1" applyBorder="1" applyAlignment="1" applyProtection="1">
      <alignment horizontal="center"/>
      <protection/>
    </xf>
    <xf numFmtId="3" fontId="7" fillId="4" borderId="6" xfId="0" applyNumberFormat="1" applyFont="1" applyFill="1" applyBorder="1" applyAlignment="1" applyProtection="1">
      <alignment horizontal="center"/>
      <protection/>
    </xf>
    <xf numFmtId="0" fontId="8" fillId="4" borderId="9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4" fontId="8" fillId="4" borderId="0" xfId="0" applyNumberFormat="1" applyFont="1" applyFill="1" applyBorder="1" applyAlignment="1" applyProtection="1">
      <alignment horizontal="center"/>
      <protection/>
    </xf>
    <xf numFmtId="3" fontId="8" fillId="4" borderId="0" xfId="0" applyNumberFormat="1" applyFont="1" applyFill="1" applyBorder="1" applyAlignment="1" applyProtection="1">
      <alignment/>
      <protection/>
    </xf>
    <xf numFmtId="184" fontId="8" fillId="4" borderId="5" xfId="0" applyNumberFormat="1" applyFont="1" applyFill="1" applyBorder="1" applyAlignment="1" applyProtection="1">
      <alignment/>
      <protection/>
    </xf>
    <xf numFmtId="4" fontId="8" fillId="4" borderId="8" xfId="0" applyNumberFormat="1" applyFont="1" applyFill="1" applyBorder="1" applyAlignment="1" applyProtection="1">
      <alignment horizontal="center"/>
      <protection/>
    </xf>
    <xf numFmtId="3" fontId="8" fillId="4" borderId="8" xfId="0" applyNumberFormat="1" applyFont="1" applyFill="1" applyBorder="1" applyAlignment="1" applyProtection="1">
      <alignment/>
      <protection/>
    </xf>
    <xf numFmtId="184" fontId="8" fillId="4" borderId="6" xfId="0" applyNumberFormat="1" applyFont="1" applyFill="1" applyBorder="1" applyAlignment="1" applyProtection="1">
      <alignment/>
      <protection/>
    </xf>
    <xf numFmtId="184" fontId="7" fillId="4" borderId="8" xfId="0" applyNumberFormat="1" applyFont="1" applyFill="1" applyBorder="1" applyAlignment="1" applyProtection="1">
      <alignment horizontal="center"/>
      <protection/>
    </xf>
    <xf numFmtId="4" fontId="7" fillId="4" borderId="8" xfId="0" applyNumberFormat="1" applyFont="1" applyFill="1" applyBorder="1" applyAlignment="1" applyProtection="1">
      <alignment horizontal="center"/>
      <protection/>
    </xf>
    <xf numFmtId="3" fontId="7" fillId="4" borderId="8" xfId="0" applyNumberFormat="1" applyFont="1" applyFill="1" applyBorder="1" applyAlignment="1" applyProtection="1">
      <alignment/>
      <protection/>
    </xf>
    <xf numFmtId="184" fontId="7" fillId="4" borderId="6" xfId="0" applyNumberFormat="1" applyFont="1" applyFill="1" applyBorder="1" applyAlignment="1" applyProtection="1">
      <alignment/>
      <protection/>
    </xf>
    <xf numFmtId="0" fontId="5" fillId="4" borderId="13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15" fontId="4" fillId="4" borderId="14" xfId="0" applyNumberFormat="1" applyFont="1" applyFill="1" applyBorder="1" applyAlignment="1">
      <alignment horizontal="center"/>
    </xf>
    <xf numFmtId="15" fontId="12" fillId="4" borderId="1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5" fontId="5" fillId="4" borderId="14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3" fontId="8" fillId="5" borderId="0" xfId="0" applyNumberFormat="1" applyFont="1" applyFill="1" applyBorder="1" applyAlignment="1" applyProtection="1">
      <alignment horizontal="center"/>
      <protection/>
    </xf>
    <xf numFmtId="3" fontId="8" fillId="5" borderId="8" xfId="0" applyNumberFormat="1" applyFont="1" applyFill="1" applyBorder="1" applyAlignment="1" applyProtection="1">
      <alignment horizontal="center"/>
      <protection/>
    </xf>
    <xf numFmtId="0" fontId="14" fillId="5" borderId="9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/>
    </xf>
    <xf numFmtId="1" fontId="14" fillId="5" borderId="9" xfId="0" applyNumberFormat="1" applyFont="1" applyFill="1" applyBorder="1" applyAlignment="1">
      <alignment horizontal="center"/>
    </xf>
    <xf numFmtId="0" fontId="14" fillId="5" borderId="8" xfId="0" applyNumberFormat="1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184" fontId="14" fillId="0" borderId="16" xfId="0" applyNumberFormat="1" applyFont="1" applyFill="1" applyBorder="1" applyAlignment="1">
      <alignment horizontal="center"/>
    </xf>
    <xf numFmtId="184" fontId="14" fillId="6" borderId="16" xfId="0" applyNumberFormat="1" applyFont="1" applyFill="1" applyBorder="1" applyAlignment="1">
      <alignment horizontal="center"/>
    </xf>
    <xf numFmtId="184" fontId="14" fillId="0" borderId="17" xfId="0" applyNumberFormat="1" applyFont="1" applyFill="1" applyBorder="1" applyAlignment="1" applyProtection="1">
      <alignment horizontal="center"/>
      <protection locked="0"/>
    </xf>
    <xf numFmtId="184" fontId="14" fillId="6" borderId="17" xfId="0" applyNumberFormat="1" applyFont="1" applyFill="1" applyBorder="1" applyAlignment="1">
      <alignment horizontal="center"/>
    </xf>
    <xf numFmtId="184" fontId="14" fillId="0" borderId="18" xfId="0" applyNumberFormat="1" applyFont="1" applyFill="1" applyBorder="1" applyAlignment="1" applyProtection="1">
      <alignment horizontal="center"/>
      <protection locked="0"/>
    </xf>
    <xf numFmtId="184" fontId="14" fillId="6" borderId="18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5" fontId="17" fillId="0" borderId="0" xfId="0" applyNumberFormat="1" applyFont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7" fillId="0" borderId="22" xfId="0" applyFont="1" applyBorder="1" applyAlignment="1">
      <alignment/>
    </xf>
    <xf numFmtId="0" fontId="17" fillId="3" borderId="23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185" fontId="18" fillId="3" borderId="23" xfId="0" applyNumberFormat="1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193" fontId="18" fillId="3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2" fontId="18" fillId="3" borderId="26" xfId="0" applyNumberFormat="1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85" fontId="18" fillId="3" borderId="27" xfId="0" applyNumberFormat="1" applyFont="1" applyFill="1" applyBorder="1" applyAlignment="1">
      <alignment horizontal="center"/>
    </xf>
    <xf numFmtId="2" fontId="18" fillId="3" borderId="19" xfId="0" applyNumberFormat="1" applyFont="1" applyFill="1" applyBorder="1" applyAlignment="1">
      <alignment horizontal="center"/>
    </xf>
    <xf numFmtId="2" fontId="17" fillId="3" borderId="28" xfId="0" applyNumberFormat="1" applyFont="1" applyFill="1" applyBorder="1" applyAlignment="1">
      <alignment horizontal="center"/>
    </xf>
    <xf numFmtId="2" fontId="18" fillId="3" borderId="28" xfId="0" applyNumberFormat="1" applyFont="1" applyFill="1" applyBorder="1" applyAlignment="1">
      <alignment horizontal="center"/>
    </xf>
    <xf numFmtId="2" fontId="18" fillId="3" borderId="22" xfId="0" applyNumberFormat="1" applyFont="1" applyFill="1" applyBorder="1" applyAlignment="1">
      <alignment horizontal="center"/>
    </xf>
    <xf numFmtId="193" fontId="18" fillId="3" borderId="28" xfId="0" applyNumberFormat="1" applyFont="1" applyFill="1" applyBorder="1" applyAlignment="1">
      <alignment horizontal="center"/>
    </xf>
    <xf numFmtId="2" fontId="18" fillId="3" borderId="25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15" fontId="17" fillId="0" borderId="0" xfId="0" applyNumberFormat="1" applyFont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9" fontId="18" fillId="3" borderId="28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7" borderId="12" xfId="0" applyFont="1" applyFill="1" applyBorder="1" applyAlignment="1">
      <alignment/>
    </xf>
    <xf numFmtId="0" fontId="23" fillId="7" borderId="29" xfId="0" applyFont="1" applyFill="1" applyBorder="1" applyAlignment="1">
      <alignment horizontal="center"/>
    </xf>
    <xf numFmtId="0" fontId="23" fillId="6" borderId="29" xfId="0" applyFont="1" applyFill="1" applyBorder="1" applyAlignment="1">
      <alignment horizontal="center"/>
    </xf>
    <xf numFmtId="0" fontId="25" fillId="0" borderId="30" xfId="0" applyFont="1" applyFill="1" applyBorder="1" applyAlignment="1" applyProtection="1">
      <alignment horizontal="center"/>
      <protection/>
    </xf>
    <xf numFmtId="0" fontId="24" fillId="6" borderId="31" xfId="0" applyFont="1" applyFill="1" applyBorder="1" applyAlignment="1">
      <alignment horizontal="center"/>
    </xf>
    <xf numFmtId="0" fontId="24" fillId="7" borderId="32" xfId="0" applyFont="1" applyFill="1" applyBorder="1" applyAlignment="1" applyProtection="1">
      <alignment horizontal="center"/>
      <protection/>
    </xf>
    <xf numFmtId="0" fontId="0" fillId="7" borderId="12" xfId="0" applyFill="1" applyBorder="1" applyAlignment="1">
      <alignment horizontal="center"/>
    </xf>
    <xf numFmtId="3" fontId="14" fillId="7" borderId="12" xfId="0" applyNumberFormat="1" applyFont="1" applyFill="1" applyBorder="1" applyAlignment="1">
      <alignment horizontal="center"/>
    </xf>
    <xf numFmtId="0" fontId="29" fillId="6" borderId="33" xfId="0" applyFont="1" applyFill="1" applyBorder="1" applyAlignment="1">
      <alignment horizontal="center"/>
    </xf>
    <xf numFmtId="0" fontId="29" fillId="6" borderId="33" xfId="0" applyFont="1" applyFill="1" applyBorder="1" applyAlignment="1">
      <alignment horizontal="center" wrapText="1"/>
    </xf>
    <xf numFmtId="0" fontId="29" fillId="6" borderId="34" xfId="0" applyFont="1" applyFill="1" applyBorder="1" applyAlignment="1">
      <alignment horizontal="center" wrapText="1"/>
    </xf>
    <xf numFmtId="0" fontId="30" fillId="6" borderId="35" xfId="0" applyFont="1" applyFill="1" applyBorder="1" applyAlignment="1">
      <alignment horizontal="center"/>
    </xf>
    <xf numFmtId="0" fontId="30" fillId="6" borderId="33" xfId="0" applyFont="1" applyFill="1" applyBorder="1" applyAlignment="1">
      <alignment horizontal="center" wrapText="1"/>
    </xf>
    <xf numFmtId="0" fontId="30" fillId="6" borderId="36" xfId="0" applyFont="1" applyFill="1" applyBorder="1" applyAlignment="1">
      <alignment horizontal="center" wrapText="1"/>
    </xf>
    <xf numFmtId="0" fontId="30" fillId="6" borderId="33" xfId="0" applyFont="1" applyFill="1" applyBorder="1" applyAlignment="1">
      <alignment horizontal="center"/>
    </xf>
    <xf numFmtId="0" fontId="23" fillId="6" borderId="37" xfId="0" applyFont="1" applyFill="1" applyBorder="1" applyAlignment="1">
      <alignment/>
    </xf>
    <xf numFmtId="0" fontId="26" fillId="7" borderId="38" xfId="0" applyFont="1" applyFill="1" applyBorder="1" applyAlignment="1">
      <alignment/>
    </xf>
    <xf numFmtId="1" fontId="23" fillId="6" borderId="39" xfId="0" applyNumberFormat="1" applyFont="1" applyFill="1" applyBorder="1" applyAlignment="1">
      <alignment horizontal="center"/>
    </xf>
    <xf numFmtId="1" fontId="23" fillId="6" borderId="40" xfId="0" applyNumberFormat="1" applyFont="1" applyFill="1" applyBorder="1" applyAlignment="1">
      <alignment horizontal="center"/>
    </xf>
    <xf numFmtId="186" fontId="23" fillId="6" borderId="40" xfId="0" applyNumberFormat="1" applyFont="1" applyFill="1" applyBorder="1" applyAlignment="1">
      <alignment horizontal="center"/>
    </xf>
    <xf numFmtId="0" fontId="23" fillId="7" borderId="39" xfId="0" applyFont="1" applyFill="1" applyBorder="1" applyAlignment="1">
      <alignment horizontal="center"/>
    </xf>
    <xf numFmtId="196" fontId="23" fillId="7" borderId="40" xfId="0" applyNumberFormat="1" applyFont="1" applyFill="1" applyBorder="1" applyAlignment="1">
      <alignment horizontal="center"/>
    </xf>
    <xf numFmtId="196" fontId="23" fillId="7" borderId="41" xfId="0" applyNumberFormat="1" applyFont="1" applyFill="1" applyBorder="1" applyAlignment="1">
      <alignment horizontal="center"/>
    </xf>
    <xf numFmtId="0" fontId="23" fillId="7" borderId="42" xfId="0" applyFont="1" applyFill="1" applyBorder="1" applyAlignment="1">
      <alignment horizontal="center"/>
    </xf>
    <xf numFmtId="3" fontId="23" fillId="7" borderId="40" xfId="0" applyNumberFormat="1" applyFont="1" applyFill="1" applyBorder="1" applyAlignment="1">
      <alignment horizontal="center"/>
    </xf>
    <xf numFmtId="4" fontId="23" fillId="7" borderId="43" xfId="0" applyNumberFormat="1" applyFont="1" applyFill="1" applyBorder="1" applyAlignment="1">
      <alignment horizontal="center"/>
    </xf>
    <xf numFmtId="0" fontId="23" fillId="6" borderId="44" xfId="0" applyFont="1" applyFill="1" applyBorder="1" applyAlignment="1">
      <alignment/>
    </xf>
    <xf numFmtId="14" fontId="31" fillId="7" borderId="12" xfId="0" applyNumberFormat="1" applyFont="1" applyFill="1" applyBorder="1" applyAlignment="1" applyProtection="1">
      <alignment/>
      <protection locked="0"/>
    </xf>
    <xf numFmtId="1" fontId="23" fillId="6" borderId="29" xfId="0" applyNumberFormat="1" applyFont="1" applyFill="1" applyBorder="1" applyAlignment="1" applyProtection="1">
      <alignment horizontal="center"/>
      <protection locked="0"/>
    </xf>
    <xf numFmtId="1" fontId="23" fillId="6" borderId="45" xfId="0" applyNumberFormat="1" applyFont="1" applyFill="1" applyBorder="1" applyAlignment="1" applyProtection="1">
      <alignment horizontal="center"/>
      <protection locked="0"/>
    </xf>
    <xf numFmtId="186" fontId="23" fillId="6" borderId="45" xfId="0" applyNumberFormat="1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/>
    </xf>
    <xf numFmtId="196" fontId="23" fillId="8" borderId="45" xfId="0" applyNumberFormat="1" applyFont="1" applyFill="1" applyBorder="1" applyAlignment="1">
      <alignment horizontal="center"/>
    </xf>
    <xf numFmtId="196" fontId="23" fillId="8" borderId="46" xfId="0" applyNumberFormat="1" applyFont="1" applyFill="1" applyBorder="1" applyAlignment="1">
      <alignment horizontal="center"/>
    </xf>
    <xf numFmtId="0" fontId="23" fillId="8" borderId="47" xfId="0" applyFont="1" applyFill="1" applyBorder="1" applyAlignment="1">
      <alignment horizontal="center"/>
    </xf>
    <xf numFmtId="3" fontId="23" fillId="8" borderId="45" xfId="0" applyNumberFormat="1" applyFont="1" applyFill="1" applyBorder="1" applyAlignment="1">
      <alignment horizontal="center"/>
    </xf>
    <xf numFmtId="4" fontId="23" fillId="8" borderId="48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/>
    </xf>
    <xf numFmtId="1" fontId="23" fillId="6" borderId="29" xfId="0" applyNumberFormat="1" applyFont="1" applyFill="1" applyBorder="1" applyAlignment="1">
      <alignment horizontal="center"/>
    </xf>
    <xf numFmtId="1" fontId="23" fillId="6" borderId="45" xfId="0" applyNumberFormat="1" applyFont="1" applyFill="1" applyBorder="1" applyAlignment="1">
      <alignment horizontal="center"/>
    </xf>
    <xf numFmtId="196" fontId="23" fillId="7" borderId="45" xfId="0" applyNumberFormat="1" applyFont="1" applyFill="1" applyBorder="1" applyAlignment="1">
      <alignment horizontal="center"/>
    </xf>
    <xf numFmtId="196" fontId="23" fillId="7" borderId="46" xfId="0" applyNumberFormat="1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3" fontId="23" fillId="7" borderId="45" xfId="0" applyNumberFormat="1" applyFont="1" applyFill="1" applyBorder="1" applyAlignment="1">
      <alignment horizontal="center"/>
    </xf>
    <xf numFmtId="4" fontId="23" fillId="7" borderId="48" xfId="0" applyNumberFormat="1" applyFont="1" applyFill="1" applyBorder="1" applyAlignment="1">
      <alignment horizontal="center"/>
    </xf>
    <xf numFmtId="0" fontId="24" fillId="6" borderId="44" xfId="0" applyFont="1" applyFill="1" applyBorder="1" applyAlignment="1">
      <alignment/>
    </xf>
    <xf numFmtId="0" fontId="32" fillId="7" borderId="12" xfId="0" applyFont="1" applyFill="1" applyBorder="1" applyAlignment="1">
      <alignment/>
    </xf>
    <xf numFmtId="1" fontId="24" fillId="6" borderId="29" xfId="0" applyNumberFormat="1" applyFont="1" applyFill="1" applyBorder="1" applyAlignment="1">
      <alignment horizontal="center"/>
    </xf>
    <xf numFmtId="1" fontId="24" fillId="6" borderId="45" xfId="0" applyNumberFormat="1" applyFont="1" applyFill="1" applyBorder="1" applyAlignment="1">
      <alignment horizontal="center"/>
    </xf>
    <xf numFmtId="186" fontId="24" fillId="6" borderId="45" xfId="0" applyNumberFormat="1" applyFont="1" applyFill="1" applyBorder="1" applyAlignment="1">
      <alignment horizontal="center"/>
    </xf>
    <xf numFmtId="0" fontId="24" fillId="7" borderId="29" xfId="0" applyFont="1" applyFill="1" applyBorder="1" applyAlignment="1">
      <alignment horizontal="center"/>
    </xf>
    <xf numFmtId="196" fontId="24" fillId="7" borderId="45" xfId="0" applyNumberFormat="1" applyFont="1" applyFill="1" applyBorder="1" applyAlignment="1">
      <alignment horizontal="center"/>
    </xf>
    <xf numFmtId="196" fontId="24" fillId="7" borderId="46" xfId="0" applyNumberFormat="1" applyFont="1" applyFill="1" applyBorder="1" applyAlignment="1">
      <alignment horizontal="center"/>
    </xf>
    <xf numFmtId="0" fontId="24" fillId="7" borderId="47" xfId="0" applyFont="1" applyFill="1" applyBorder="1" applyAlignment="1">
      <alignment horizontal="center"/>
    </xf>
    <xf numFmtId="3" fontId="24" fillId="7" borderId="45" xfId="0" applyNumberFormat="1" applyFont="1" applyFill="1" applyBorder="1" applyAlignment="1">
      <alignment horizontal="center"/>
    </xf>
    <xf numFmtId="4" fontId="24" fillId="7" borderId="48" xfId="0" applyNumberFormat="1" applyFont="1" applyFill="1" applyBorder="1" applyAlignment="1">
      <alignment horizontal="center"/>
    </xf>
    <xf numFmtId="14" fontId="26" fillId="7" borderId="12" xfId="0" applyNumberFormat="1" applyFont="1" applyFill="1" applyBorder="1" applyAlignment="1" applyProtection="1">
      <alignment/>
      <protection locked="0"/>
    </xf>
    <xf numFmtId="0" fontId="23" fillId="6" borderId="45" xfId="0" applyFont="1" applyFill="1" applyBorder="1" applyAlignment="1">
      <alignment horizontal="center"/>
    </xf>
    <xf numFmtId="186" fontId="23" fillId="6" borderId="45" xfId="0" applyNumberFormat="1" applyFont="1" applyFill="1" applyBorder="1" applyAlignment="1" applyProtection="1">
      <alignment horizontal="center"/>
      <protection locked="0"/>
    </xf>
    <xf numFmtId="0" fontId="23" fillId="6" borderId="49" xfId="0" applyFont="1" applyFill="1" applyBorder="1" applyAlignment="1">
      <alignment/>
    </xf>
    <xf numFmtId="0" fontId="23" fillId="7" borderId="50" xfId="0" applyFont="1" applyFill="1" applyBorder="1" applyAlignment="1">
      <alignment/>
    </xf>
    <xf numFmtId="0" fontId="23" fillId="6" borderId="51" xfId="0" applyFont="1" applyFill="1" applyBorder="1" applyAlignment="1">
      <alignment horizontal="center"/>
    </xf>
    <xf numFmtId="0" fontId="23" fillId="6" borderId="52" xfId="0" applyFont="1" applyFill="1" applyBorder="1" applyAlignment="1">
      <alignment horizontal="center"/>
    </xf>
    <xf numFmtId="186" fontId="23" fillId="6" borderId="52" xfId="0" applyNumberFormat="1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196" fontId="23" fillId="7" borderId="52" xfId="0" applyNumberFormat="1" applyFont="1" applyFill="1" applyBorder="1" applyAlignment="1">
      <alignment horizontal="center"/>
    </xf>
    <xf numFmtId="196" fontId="23" fillId="7" borderId="53" xfId="0" applyNumberFormat="1" applyFont="1" applyFill="1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3" fontId="23" fillId="7" borderId="52" xfId="0" applyNumberFormat="1" applyFont="1" applyFill="1" applyBorder="1" applyAlignment="1">
      <alignment horizontal="center"/>
    </xf>
    <xf numFmtId="4" fontId="23" fillId="7" borderId="55" xfId="0" applyNumberFormat="1" applyFont="1" applyFill="1" applyBorder="1" applyAlignment="1">
      <alignment horizontal="center"/>
    </xf>
    <xf numFmtId="0" fontId="33" fillId="7" borderId="12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3" fontId="36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 vertical="center"/>
    </xf>
    <xf numFmtId="2" fontId="35" fillId="0" borderId="12" xfId="0" applyNumberFormat="1" applyFont="1" applyFill="1" applyBorder="1" applyAlignment="1">
      <alignment/>
    </xf>
    <xf numFmtId="214" fontId="38" fillId="0" borderId="12" xfId="0" applyNumberFormat="1" applyFont="1" applyFill="1" applyBorder="1" applyAlignment="1">
      <alignment horizontal="center" vertical="center" wrapText="1"/>
    </xf>
    <xf numFmtId="214" fontId="38" fillId="0" borderId="12" xfId="0" applyNumberFormat="1" applyFont="1" applyFill="1" applyBorder="1" applyAlignment="1">
      <alignment horizontal="center"/>
    </xf>
    <xf numFmtId="214" fontId="35" fillId="0" borderId="12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4" xfId="0" applyFont="1" applyFill="1" applyBorder="1" applyAlignment="1">
      <alignment/>
    </xf>
    <xf numFmtId="0" fontId="35" fillId="0" borderId="8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35" fillId="9" borderId="12" xfId="0" applyFont="1" applyFill="1" applyBorder="1" applyAlignment="1">
      <alignment horizontal="center"/>
    </xf>
    <xf numFmtId="0" fontId="35" fillId="0" borderId="17" xfId="0" applyFont="1" applyFill="1" applyBorder="1" applyAlignment="1">
      <alignment/>
    </xf>
    <xf numFmtId="0" fontId="35" fillId="6" borderId="12" xfId="0" applyFont="1" applyFill="1" applyBorder="1" applyAlignment="1" applyProtection="1">
      <alignment horizontal="center" shrinkToFit="1"/>
      <protection locked="0"/>
    </xf>
    <xf numFmtId="0" fontId="35" fillId="7" borderId="29" xfId="0" applyFont="1" applyFill="1" applyBorder="1" applyAlignment="1">
      <alignment horizontal="center"/>
    </xf>
    <xf numFmtId="186" fontId="35" fillId="7" borderId="29" xfId="0" applyNumberFormat="1" applyFont="1" applyFill="1" applyBorder="1" applyAlignment="1">
      <alignment horizontal="center"/>
    </xf>
    <xf numFmtId="186" fontId="35" fillId="0" borderId="17" xfId="0" applyNumberFormat="1" applyFont="1" applyFill="1" applyBorder="1" applyAlignment="1">
      <alignment horizontal="center"/>
    </xf>
    <xf numFmtId="1" fontId="35" fillId="6" borderId="10" xfId="0" applyNumberFormat="1" applyFont="1" applyFill="1" applyBorder="1" applyAlignment="1">
      <alignment horizontal="right"/>
    </xf>
    <xf numFmtId="186" fontId="35" fillId="6" borderId="12" xfId="0" applyNumberFormat="1" applyFont="1" applyFill="1" applyBorder="1" applyAlignment="1">
      <alignment/>
    </xf>
    <xf numFmtId="186" fontId="35" fillId="6" borderId="7" xfId="0" applyNumberFormat="1" applyFont="1" applyFill="1" applyBorder="1" applyAlignment="1">
      <alignment/>
    </xf>
    <xf numFmtId="3" fontId="35" fillId="6" borderId="29" xfId="0" applyNumberFormat="1" applyFont="1" applyFill="1" applyBorder="1" applyAlignment="1">
      <alignment horizontal="right"/>
    </xf>
    <xf numFmtId="3" fontId="35" fillId="6" borderId="12" xfId="0" applyNumberFormat="1" applyFont="1" applyFill="1" applyBorder="1" applyAlignment="1">
      <alignment horizontal="right"/>
    </xf>
    <xf numFmtId="0" fontId="35" fillId="6" borderId="29" xfId="0" applyFont="1" applyFill="1" applyBorder="1" applyAlignment="1">
      <alignment/>
    </xf>
    <xf numFmtId="3" fontId="35" fillId="6" borderId="29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186" fontId="35" fillId="7" borderId="12" xfId="0" applyNumberFormat="1" applyFont="1" applyFill="1" applyBorder="1" applyAlignment="1">
      <alignment/>
    </xf>
    <xf numFmtId="0" fontId="35" fillId="7" borderId="56" xfId="0" applyFont="1" applyFill="1" applyBorder="1" applyAlignment="1">
      <alignment/>
    </xf>
    <xf numFmtId="186" fontId="35" fillId="7" borderId="50" xfId="0" applyNumberFormat="1" applyFont="1" applyFill="1" applyBorder="1" applyAlignment="1">
      <alignment/>
    </xf>
    <xf numFmtId="3" fontId="35" fillId="7" borderId="57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186" fontId="35" fillId="0" borderId="2" xfId="0" applyNumberFormat="1" applyFont="1" applyBorder="1" applyAlignment="1">
      <alignment/>
    </xf>
    <xf numFmtId="0" fontId="38" fillId="0" borderId="0" xfId="0" applyFont="1" applyAlignment="1">
      <alignment horizontal="left" indent="1"/>
    </xf>
    <xf numFmtId="186" fontId="44" fillId="6" borderId="12" xfId="0" applyNumberFormat="1" applyFont="1" applyFill="1" applyBorder="1" applyAlignment="1">
      <alignment horizontal="center"/>
    </xf>
    <xf numFmtId="3" fontId="35" fillId="7" borderId="12" xfId="0" applyNumberFormat="1" applyFont="1" applyFill="1" applyBorder="1" applyAlignment="1">
      <alignment/>
    </xf>
    <xf numFmtId="0" fontId="38" fillId="0" borderId="12" xfId="0" applyFont="1" applyBorder="1" applyAlignment="1">
      <alignment horizontal="left" indent="1"/>
    </xf>
    <xf numFmtId="0" fontId="35" fillId="9" borderId="12" xfId="0" applyFont="1" applyFill="1" applyBorder="1" applyAlignment="1">
      <alignment horizontal="center" vertical="center" wrapText="1"/>
    </xf>
    <xf numFmtId="0" fontId="35" fillId="10" borderId="12" xfId="0" applyFont="1" applyFill="1" applyBorder="1" applyAlignment="1">
      <alignment horizontal="center" vertical="center" wrapText="1"/>
    </xf>
    <xf numFmtId="3" fontId="36" fillId="10" borderId="12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44" fillId="9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214" fontId="35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2" fontId="35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/>
    </xf>
    <xf numFmtId="181" fontId="35" fillId="0" borderId="0" xfId="17" applyFont="1" applyAlignment="1">
      <alignment/>
    </xf>
    <xf numFmtId="181" fontId="35" fillId="0" borderId="12" xfId="17" applyFont="1" applyFill="1" applyBorder="1" applyAlignment="1">
      <alignment/>
    </xf>
    <xf numFmtId="181" fontId="35" fillId="0" borderId="12" xfId="17" applyFont="1" applyFill="1" applyBorder="1" applyAlignment="1">
      <alignment horizontal="right" vertical="center" wrapText="1"/>
    </xf>
    <xf numFmtId="0" fontId="35" fillId="0" borderId="12" xfId="0" applyFont="1" applyBorder="1" applyAlignment="1">
      <alignment/>
    </xf>
    <xf numFmtId="181" fontId="35" fillId="0" borderId="12" xfId="17" applyFont="1" applyBorder="1" applyAlignment="1">
      <alignment/>
    </xf>
    <xf numFmtId="0" fontId="35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7" borderId="12" xfId="0" applyFont="1" applyFill="1" applyBorder="1" applyAlignment="1" applyProtection="1">
      <alignment/>
      <protection locked="0"/>
    </xf>
    <xf numFmtId="3" fontId="35" fillId="11" borderId="58" xfId="0" applyNumberFormat="1" applyFont="1" applyFill="1" applyBorder="1" applyAlignment="1" applyProtection="1">
      <alignment/>
      <protection locked="0"/>
    </xf>
    <xf numFmtId="0" fontId="35" fillId="11" borderId="12" xfId="0" applyFont="1" applyFill="1" applyBorder="1" applyAlignment="1" applyProtection="1">
      <alignment horizontal="right"/>
      <protection locked="0"/>
    </xf>
    <xf numFmtId="0" fontId="35" fillId="11" borderId="12" xfId="0" applyFont="1" applyFill="1" applyBorder="1" applyAlignment="1" applyProtection="1">
      <alignment/>
      <protection locked="0"/>
    </xf>
    <xf numFmtId="186" fontId="35" fillId="7" borderId="12" xfId="0" applyNumberFormat="1" applyFont="1" applyFill="1" applyBorder="1" applyAlignment="1" applyProtection="1">
      <alignment/>
      <protection locked="0"/>
    </xf>
    <xf numFmtId="0" fontId="41" fillId="0" borderId="8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41" fillId="0" borderId="8" xfId="0" applyFont="1" applyBorder="1" applyAlignment="1" applyProtection="1">
      <alignment horizontal="center"/>
      <protection locked="0"/>
    </xf>
    <xf numFmtId="0" fontId="35" fillId="9" borderId="7" xfId="0" applyFont="1" applyFill="1" applyBorder="1" applyAlignment="1">
      <alignment horizontal="center"/>
    </xf>
    <xf numFmtId="0" fontId="35" fillId="9" borderId="9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2" xfId="0" applyFont="1" applyFill="1" applyBorder="1" applyAlignment="1">
      <alignment/>
    </xf>
    <xf numFmtId="0" fontId="35" fillId="9" borderId="3" xfId="0" applyFont="1" applyFill="1" applyBorder="1" applyAlignment="1">
      <alignment/>
    </xf>
    <xf numFmtId="0" fontId="26" fillId="6" borderId="59" xfId="0" applyFont="1" applyFill="1" applyBorder="1" applyAlignment="1" applyProtection="1">
      <alignment horizontal="center"/>
      <protection/>
    </xf>
    <xf numFmtId="0" fontId="26" fillId="6" borderId="60" xfId="0" applyFont="1" applyFill="1" applyBorder="1" applyAlignment="1">
      <alignment horizontal="center"/>
    </xf>
    <xf numFmtId="0" fontId="26" fillId="6" borderId="61" xfId="0" applyFont="1" applyFill="1" applyBorder="1" applyAlignment="1">
      <alignment horizontal="center"/>
    </xf>
    <xf numFmtId="0" fontId="27" fillId="7" borderId="59" xfId="0" applyFont="1" applyFill="1" applyBorder="1" applyAlignment="1">
      <alignment horizontal="center"/>
    </xf>
    <xf numFmtId="0" fontId="27" fillId="7" borderId="60" xfId="0" applyFont="1" applyFill="1" applyBorder="1" applyAlignment="1">
      <alignment horizontal="center"/>
    </xf>
    <xf numFmtId="0" fontId="27" fillId="7" borderId="62" xfId="0" applyFont="1" applyFill="1" applyBorder="1" applyAlignment="1">
      <alignment horizontal="center"/>
    </xf>
    <xf numFmtId="2" fontId="24" fillId="7" borderId="63" xfId="0" applyNumberFormat="1" applyFont="1" applyFill="1" applyBorder="1" applyAlignment="1">
      <alignment horizontal="center"/>
    </xf>
    <xf numFmtId="2" fontId="24" fillId="7" borderId="60" xfId="0" applyNumberFormat="1" applyFont="1" applyFill="1" applyBorder="1" applyAlignment="1">
      <alignment horizontal="center"/>
    </xf>
    <xf numFmtId="2" fontId="24" fillId="7" borderId="61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99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2333625</xdr:colOff>
      <xdr:row>40</xdr:row>
      <xdr:rowOff>142875</xdr:rowOff>
    </xdr:from>
    <xdr:to>
      <xdr:col>0</xdr:col>
      <xdr:colOff>3609975</xdr:colOff>
      <xdr:row>42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843915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66675</xdr:rowOff>
    </xdr:from>
    <xdr:to>
      <xdr:col>5</xdr:col>
      <xdr:colOff>695325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2590800</xdr:colOff>
      <xdr:row>23</xdr:row>
      <xdr:rowOff>266700</xdr:rowOff>
    </xdr:from>
    <xdr:to>
      <xdr:col>0</xdr:col>
      <xdr:colOff>3390900</xdr:colOff>
      <xdr:row>25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764857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66675</xdr:rowOff>
    </xdr:from>
    <xdr:to>
      <xdr:col>8</xdr:col>
      <xdr:colOff>742950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6667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19050</xdr:rowOff>
    </xdr:from>
    <xdr:to>
      <xdr:col>13</xdr:col>
      <xdr:colOff>619125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90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19050</xdr:rowOff>
    </xdr:from>
    <xdr:to>
      <xdr:col>12</xdr:col>
      <xdr:colOff>866775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90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48</xdr:row>
      <xdr:rowOff>0</xdr:rowOff>
    </xdr:from>
    <xdr:to>
      <xdr:col>7</xdr:col>
      <xdr:colOff>0</xdr:colOff>
      <xdr:row>48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28575</xdr:rowOff>
    </xdr:from>
    <xdr:to>
      <xdr:col>12</xdr:col>
      <xdr:colOff>952500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85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15" sqref="A15"/>
    </sheetView>
  </sheetViews>
  <sheetFormatPr defaultColWidth="9.140625" defaultRowHeight="12.75"/>
  <cols>
    <col min="1" max="1" width="91.28125" style="165" customWidth="1"/>
    <col min="2" max="16384" width="9.140625" style="162" customWidth="1"/>
  </cols>
  <sheetData>
    <row r="1" ht="15">
      <c r="A1" s="211"/>
    </row>
    <row r="2" ht="15">
      <c r="A2" s="212"/>
    </row>
    <row r="3" ht="15">
      <c r="A3" s="212"/>
    </row>
    <row r="4" ht="15">
      <c r="A4" s="212"/>
    </row>
    <row r="5" ht="15">
      <c r="A5" s="212"/>
    </row>
    <row r="6" s="163" customFormat="1" ht="27">
      <c r="A6" s="208" t="s">
        <v>0</v>
      </c>
    </row>
    <row r="7" ht="27">
      <c r="A7" s="208" t="s">
        <v>149</v>
      </c>
    </row>
    <row r="8" ht="18">
      <c r="A8" s="213" t="s">
        <v>1</v>
      </c>
    </row>
    <row r="9" ht="15">
      <c r="A9" s="212"/>
    </row>
    <row r="10" s="164" customFormat="1" ht="32.25">
      <c r="A10" s="214" t="s">
        <v>151</v>
      </c>
    </row>
    <row r="11" ht="30.75">
      <c r="A11" s="218" t="s">
        <v>158</v>
      </c>
    </row>
    <row r="12" ht="15">
      <c r="A12" s="212"/>
    </row>
    <row r="13" ht="3.75" customHeight="1">
      <c r="A13" s="212"/>
    </row>
    <row r="14" ht="15">
      <c r="A14" s="212"/>
    </row>
    <row r="15" ht="15">
      <c r="A15" s="212"/>
    </row>
    <row r="16" ht="15">
      <c r="A16" s="219"/>
    </row>
    <row r="17" ht="15">
      <c r="A17" s="212"/>
    </row>
    <row r="18" ht="15">
      <c r="A18" s="212" t="s">
        <v>1</v>
      </c>
    </row>
    <row r="19" ht="15">
      <c r="A19" s="212"/>
    </row>
    <row r="20" ht="15">
      <c r="A20" s="212"/>
    </row>
    <row r="21" ht="15">
      <c r="A21" s="212"/>
    </row>
    <row r="22" ht="15">
      <c r="A22" s="212"/>
    </row>
    <row r="23" ht="15">
      <c r="A23" s="212"/>
    </row>
    <row r="24" ht="15">
      <c r="A24" s="212"/>
    </row>
    <row r="25" ht="15">
      <c r="A25" s="212"/>
    </row>
    <row r="26" ht="15">
      <c r="A26" s="212"/>
    </row>
    <row r="27" ht="15">
      <c r="A27" s="212"/>
    </row>
    <row r="28" ht="15">
      <c r="A28" s="212"/>
    </row>
    <row r="29" ht="15">
      <c r="A29" s="212"/>
    </row>
    <row r="30" ht="15">
      <c r="A30" s="212"/>
    </row>
    <row r="31" ht="15">
      <c r="A31" s="212"/>
    </row>
    <row r="32" ht="15">
      <c r="A32" s="212"/>
    </row>
    <row r="33" ht="15">
      <c r="A33" s="212"/>
    </row>
    <row r="34" ht="19.5">
      <c r="A34" s="215">
        <v>2003</v>
      </c>
    </row>
    <row r="35" ht="15">
      <c r="A35" s="212"/>
    </row>
    <row r="36" ht="15">
      <c r="A36" s="212"/>
    </row>
    <row r="37" ht="15">
      <c r="A37" s="212"/>
    </row>
    <row r="38" ht="15">
      <c r="A38" s="212"/>
    </row>
    <row r="39" ht="15">
      <c r="A39" s="212"/>
    </row>
    <row r="40" ht="15">
      <c r="A40" s="212"/>
    </row>
    <row r="41" ht="15">
      <c r="A41" s="212"/>
    </row>
    <row r="42" ht="15">
      <c r="A42" s="212"/>
    </row>
    <row r="43" ht="15">
      <c r="A43" s="212"/>
    </row>
    <row r="44" ht="15.75" thickBot="1">
      <c r="A44" s="21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72"/>
  <sheetViews>
    <sheetView workbookViewId="0" topLeftCell="G1">
      <selection activeCell="A15" sqref="A15"/>
    </sheetView>
  </sheetViews>
  <sheetFormatPr defaultColWidth="9.140625" defaultRowHeight="12.75"/>
  <cols>
    <col min="1" max="1" width="11.57421875" style="8" customWidth="1"/>
    <col min="2" max="2" width="11.57421875" style="57" customWidth="1"/>
    <col min="3" max="3" width="11.140625" style="121" customWidth="1"/>
    <col min="4" max="4" width="14.7109375" style="57" customWidth="1"/>
    <col min="5" max="5" width="15.28125" style="57" customWidth="1"/>
    <col min="6" max="6" width="15.8515625" style="122" customWidth="1"/>
    <col min="7" max="7" width="12.7109375" style="121" customWidth="1"/>
    <col min="8" max="8" width="12.7109375" style="122" customWidth="1"/>
    <col min="9" max="9" width="12.7109375" style="121" customWidth="1"/>
    <col min="10" max="10" width="12.7109375" style="122" customWidth="1"/>
    <col min="11" max="16384" width="9.140625" style="8" customWidth="1"/>
  </cols>
  <sheetData>
    <row r="6" spans="1:10" ht="10.5">
      <c r="A6" s="60" t="s">
        <v>130</v>
      </c>
      <c r="B6" s="123" t="s">
        <v>131</v>
      </c>
      <c r="C6" s="124" t="s">
        <v>132</v>
      </c>
      <c r="D6" s="125" t="s">
        <v>133</v>
      </c>
      <c r="E6" s="125" t="s">
        <v>134</v>
      </c>
      <c r="F6" s="126" t="s">
        <v>135</v>
      </c>
      <c r="G6" s="124" t="s">
        <v>16</v>
      </c>
      <c r="H6" s="126" t="s">
        <v>17</v>
      </c>
      <c r="I6" s="124" t="s">
        <v>136</v>
      </c>
      <c r="J6" s="127" t="s">
        <v>137</v>
      </c>
    </row>
    <row r="7" spans="1:10" ht="10.5">
      <c r="A7" s="22" t="s">
        <v>8</v>
      </c>
      <c r="B7" s="128">
        <f>C7/4206</f>
        <v>0</v>
      </c>
      <c r="C7" s="129">
        <f>Info!B6</f>
        <v>0</v>
      </c>
      <c r="D7" s="130">
        <f>Info!C20</f>
        <v>0</v>
      </c>
      <c r="E7" s="131">
        <f>D7*43.56</f>
        <v>0</v>
      </c>
      <c r="F7" s="128">
        <f>D7/0.220462</f>
        <v>0</v>
      </c>
      <c r="G7" s="132">
        <f>PRODUCT(F7,C7)</f>
        <v>0</v>
      </c>
      <c r="H7" s="133">
        <f>PRODUCT(E7,B7)</f>
        <v>0</v>
      </c>
      <c r="I7" s="133">
        <f aca="true" t="shared" si="0" ref="I7:J10">PRODUCT(G7*1.2)</f>
        <v>0</v>
      </c>
      <c r="J7" s="134">
        <f t="shared" si="0"/>
        <v>0</v>
      </c>
    </row>
    <row r="8" spans="1:10" ht="10.5">
      <c r="A8" s="22" t="s">
        <v>9</v>
      </c>
      <c r="B8" s="128">
        <f>C8/4206</f>
        <v>0</v>
      </c>
      <c r="C8" s="129">
        <f>Info!B7</f>
        <v>0</v>
      </c>
      <c r="D8" s="130">
        <f>Info!C21</f>
        <v>0</v>
      </c>
      <c r="E8" s="131">
        <f>D8*43.56</f>
        <v>0</v>
      </c>
      <c r="F8" s="128">
        <f>D8/0.220462</f>
        <v>0</v>
      </c>
      <c r="G8" s="132">
        <f>PRODUCT(F8,C8)</f>
        <v>0</v>
      </c>
      <c r="H8" s="133">
        <f>PRODUCT(E8,B8)</f>
        <v>0</v>
      </c>
      <c r="I8" s="133">
        <f t="shared" si="0"/>
        <v>0</v>
      </c>
      <c r="J8" s="134">
        <f t="shared" si="0"/>
        <v>0</v>
      </c>
    </row>
    <row r="9" spans="1:10" ht="10.5">
      <c r="A9" s="22" t="s">
        <v>10</v>
      </c>
      <c r="B9" s="128">
        <f>C9/4206</f>
        <v>0</v>
      </c>
      <c r="C9" s="129">
        <f>Info!B8</f>
        <v>0</v>
      </c>
      <c r="D9" s="130">
        <f>Info!C22</f>
        <v>0</v>
      </c>
      <c r="E9" s="131">
        <f>D9*43.56</f>
        <v>0</v>
      </c>
      <c r="F9" s="128">
        <f>D9/0.220462</f>
        <v>0</v>
      </c>
      <c r="G9" s="132">
        <f>PRODUCT(F9,C9)</f>
        <v>0</v>
      </c>
      <c r="H9" s="133">
        <f>PRODUCT(E9,B9)</f>
        <v>0</v>
      </c>
      <c r="I9" s="133">
        <f t="shared" si="0"/>
        <v>0</v>
      </c>
      <c r="J9" s="134">
        <f t="shared" si="0"/>
        <v>0</v>
      </c>
    </row>
    <row r="10" spans="1:10" ht="10.5">
      <c r="A10" s="135" t="s">
        <v>11</v>
      </c>
      <c r="B10" s="136">
        <f>C10/4206</f>
        <v>0</v>
      </c>
      <c r="C10" s="137">
        <f>Info!B9</f>
        <v>0</v>
      </c>
      <c r="D10" s="138">
        <f>Info!C23</f>
        <v>0</v>
      </c>
      <c r="E10" s="139">
        <f>D10*43.56</f>
        <v>0</v>
      </c>
      <c r="F10" s="136">
        <f>D10/0.220462</f>
        <v>0</v>
      </c>
      <c r="G10" s="140">
        <f>PRODUCT(F10,C10)</f>
        <v>0</v>
      </c>
      <c r="H10" s="141">
        <f>PRODUCT(E10,B10)</f>
        <v>0</v>
      </c>
      <c r="I10" s="141">
        <f t="shared" si="0"/>
        <v>0</v>
      </c>
      <c r="J10" s="142">
        <f t="shared" si="0"/>
        <v>0</v>
      </c>
    </row>
    <row r="11" spans="1:4" ht="10.5">
      <c r="A11" s="143"/>
      <c r="B11" s="122"/>
      <c r="C11" s="144"/>
      <c r="D11" s="145"/>
    </row>
    <row r="12" spans="1:10" ht="10.5">
      <c r="A12" s="146" t="s">
        <v>138</v>
      </c>
      <c r="B12" s="107"/>
      <c r="C12" s="147"/>
      <c r="D12" s="33"/>
      <c r="E12" s="148"/>
      <c r="F12" s="8"/>
      <c r="G12" s="8"/>
      <c r="H12" s="8"/>
      <c r="I12" s="8"/>
      <c r="J12" s="8"/>
    </row>
    <row r="13" spans="1:10" ht="10.5">
      <c r="A13" s="150"/>
      <c r="B13" s="406" t="str">
        <f>A7</f>
        <v>Greens</v>
      </c>
      <c r="C13" s="407"/>
      <c r="D13" s="406" t="str">
        <f>A8</f>
        <v>Tees</v>
      </c>
      <c r="E13" s="407"/>
      <c r="F13" s="406" t="str">
        <f>A9</f>
        <v>Fairways</v>
      </c>
      <c r="G13" s="407"/>
      <c r="H13" s="406" t="str">
        <f>A10</f>
        <v>Roughs</v>
      </c>
      <c r="I13" s="407"/>
      <c r="J13" s="8"/>
    </row>
    <row r="14" spans="1:10" ht="10.5">
      <c r="A14" s="233" t="s">
        <v>139</v>
      </c>
      <c r="B14" s="149" t="s">
        <v>7</v>
      </c>
      <c r="C14" s="226" t="s">
        <v>78</v>
      </c>
      <c r="D14" s="149" t="s">
        <v>7</v>
      </c>
      <c r="E14" s="226" t="s">
        <v>78</v>
      </c>
      <c r="F14" s="149" t="s">
        <v>7</v>
      </c>
      <c r="G14" s="226" t="s">
        <v>78</v>
      </c>
      <c r="H14" s="149" t="s">
        <v>7</v>
      </c>
      <c r="I14" s="226" t="s">
        <v>78</v>
      </c>
      <c r="J14" s="8"/>
    </row>
    <row r="15" spans="1:10" ht="10.5">
      <c r="A15" s="234" t="s">
        <v>140</v>
      </c>
      <c r="B15" s="227">
        <f>PRODUCT(D7*43.65)</f>
        <v>0</v>
      </c>
      <c r="C15" s="228">
        <f>PRODUCT((B15/43.56)/0.220462)</f>
        <v>0</v>
      </c>
      <c r="D15" s="227">
        <f>PRODUCT(D8*43.65)</f>
        <v>0</v>
      </c>
      <c r="E15" s="228">
        <f>PRODUCT((D15/43.56)/0.220462)</f>
        <v>0</v>
      </c>
      <c r="F15" s="227">
        <f>PRODUCT(D9*43.65)</f>
        <v>0</v>
      </c>
      <c r="G15" s="228">
        <f>PRODUCT((F15/43.56)/0.220462)</f>
        <v>0</v>
      </c>
      <c r="H15" s="227">
        <f>PRODUCT(D10*43.65)</f>
        <v>0</v>
      </c>
      <c r="I15" s="228">
        <f>PRODUCT((H15/43.56)/0.220462)</f>
        <v>0</v>
      </c>
      <c r="J15" s="8"/>
    </row>
    <row r="16" spans="1:10" ht="10.5">
      <c r="A16" s="234" t="s">
        <v>141</v>
      </c>
      <c r="B16" s="229">
        <f>IF('Soil-G'!I17&lt;0,('Soil-G'!I17*(1.25))*-1,0)</f>
        <v>0</v>
      </c>
      <c r="C16" s="230">
        <f aca="true" t="shared" si="1" ref="C16:C25">PRODUCT((B16/43.56)/0.220462)</f>
        <v>0</v>
      </c>
      <c r="D16" s="229">
        <f>IF('Soil-T'!G17&lt;0,('Soil-T'!G17*(1.25))*-1,0)</f>
        <v>0</v>
      </c>
      <c r="E16" s="230">
        <f aca="true" t="shared" si="2" ref="E16:E25">PRODUCT((D16/43.56)/0.220462)</f>
        <v>0</v>
      </c>
      <c r="F16" s="229">
        <f>IF('Soil-F'!G17&lt;0,('Soil-F'!G17*(1.25))*-1,0)</f>
        <v>0</v>
      </c>
      <c r="G16" s="230">
        <f aca="true" t="shared" si="3" ref="G16:G25">PRODUCT((F16/43.56)/0.220462)</f>
        <v>0</v>
      </c>
      <c r="H16" s="229">
        <f>IF('Soil-F'!G17&lt;0,('Soil-F'!G17*(1.25))*-1,0)</f>
        <v>0</v>
      </c>
      <c r="I16" s="230">
        <f aca="true" t="shared" si="4" ref="I16:I25">PRODUCT((H16/43.56)/0.220462)</f>
        <v>0</v>
      </c>
      <c r="J16" s="8"/>
    </row>
    <row r="17" spans="1:10" ht="10.5">
      <c r="A17" s="234" t="s">
        <v>38</v>
      </c>
      <c r="B17" s="229"/>
      <c r="C17" s="230">
        <f t="shared" si="1"/>
        <v>0</v>
      </c>
      <c r="D17" s="229"/>
      <c r="E17" s="230">
        <f t="shared" si="2"/>
        <v>0</v>
      </c>
      <c r="F17" s="229"/>
      <c r="G17" s="230">
        <f t="shared" si="3"/>
        <v>0</v>
      </c>
      <c r="H17" s="229"/>
      <c r="I17" s="230">
        <f t="shared" si="4"/>
        <v>0</v>
      </c>
      <c r="J17" s="8"/>
    </row>
    <row r="18" spans="1:10" ht="10.5">
      <c r="A18" s="234" t="s">
        <v>32</v>
      </c>
      <c r="B18" s="229">
        <f>IF('Soil-G'!I20&lt;0,('Soil-G'!I20*(1.25))*-1,0)</f>
        <v>0</v>
      </c>
      <c r="C18" s="230">
        <f t="shared" si="1"/>
        <v>0</v>
      </c>
      <c r="D18" s="229">
        <f>IF('Soil-T'!G20&lt;0,('Soil-T'!G20*(1.25))*-1,0)</f>
        <v>1710.1000000000004</v>
      </c>
      <c r="E18" s="230">
        <f t="shared" si="2"/>
        <v>178.0737452768337</v>
      </c>
      <c r="F18" s="229">
        <f>IF('Soil-F'!G20&lt;0,('Soil-F'!G20*(1.25))*-1,0)</f>
        <v>2168.2000000000007</v>
      </c>
      <c r="G18" s="230">
        <f t="shared" si="3"/>
        <v>225.7759748021934</v>
      </c>
      <c r="H18" s="229">
        <f>IF('Soil-F'!G20&lt;0,('Soil-F'!G20*(1.25))*-1,0)</f>
        <v>2168.2000000000007</v>
      </c>
      <c r="I18" s="230">
        <f t="shared" si="4"/>
        <v>225.7759748021934</v>
      </c>
      <c r="J18" s="8"/>
    </row>
    <row r="19" spans="1:10" ht="10.5">
      <c r="A19" s="234" t="s">
        <v>35</v>
      </c>
      <c r="B19" s="229">
        <f>IF('Soil-G'!I21&lt;0,('Soil-G'!I21*(1.25))*-1,0)</f>
        <v>0</v>
      </c>
      <c r="C19" s="230">
        <f t="shared" si="1"/>
        <v>0</v>
      </c>
      <c r="D19" s="229">
        <f>IF('Soil-T'!G21&lt;0,('Soil-T'!G21*(1.25))*-1,0)</f>
        <v>0</v>
      </c>
      <c r="E19" s="230">
        <f t="shared" si="2"/>
        <v>0</v>
      </c>
      <c r="F19" s="229">
        <f>IF('Soil-F'!G21&lt;0,('Soil-F'!G21*(1.25))*-1,0)</f>
        <v>170.97500000000002</v>
      </c>
      <c r="G19" s="230">
        <f t="shared" si="3"/>
        <v>17.803729956556133</v>
      </c>
      <c r="H19" s="229">
        <f>IF('Soil-F'!G21&lt;0,('Soil-F'!G21*(1.25))*-1,0)</f>
        <v>170.97500000000002</v>
      </c>
      <c r="I19" s="230">
        <f t="shared" si="4"/>
        <v>17.803729956556133</v>
      </c>
      <c r="J19" s="8"/>
    </row>
    <row r="20" spans="1:10" ht="10.5">
      <c r="A20" s="234" t="s">
        <v>142</v>
      </c>
      <c r="B20" s="229">
        <f>IF('Soil-G'!I38&lt;0,('Soil-G'!I38*(2.25))*-1,0)</f>
        <v>2.9250000000000003</v>
      </c>
      <c r="C20" s="230">
        <f t="shared" si="1"/>
        <v>0.30458201563343573</v>
      </c>
      <c r="D20" s="229">
        <f>IF('Soil-T'!G38&lt;0,('Soil-T'!G38*(2.25))*-1,0)</f>
        <v>2.9250000000000003</v>
      </c>
      <c r="E20" s="230">
        <f t="shared" si="2"/>
        <v>0.30458201563343573</v>
      </c>
      <c r="F20" s="229">
        <f>IF('Soil-F'!G38&lt;0,('Soil-F'!G38*(2.25))*-1,0)</f>
        <v>2.9250000000000003</v>
      </c>
      <c r="G20" s="230">
        <f t="shared" si="3"/>
        <v>0.30458201563343573</v>
      </c>
      <c r="H20" s="229">
        <f>IF('Soil-F'!G38&lt;0,('Soil-F'!G38*(2.25))*-1,0)</f>
        <v>2.9250000000000003</v>
      </c>
      <c r="I20" s="230">
        <f t="shared" si="4"/>
        <v>0.30458201563343573</v>
      </c>
      <c r="J20" s="8"/>
    </row>
    <row r="21" spans="1:10" ht="10.5">
      <c r="A21" s="234" t="s">
        <v>43</v>
      </c>
      <c r="B21" s="229">
        <f>IF('Soil-G'!I39&lt;0,('Soil-G'!I39*(2.25))*-1,0)</f>
        <v>111.375</v>
      </c>
      <c r="C21" s="230">
        <f t="shared" si="1"/>
        <v>11.597545979888515</v>
      </c>
      <c r="D21" s="229">
        <f>IF('Soil-T'!G39&lt;0,('Soil-T'!G39*(2.25))*-1,0)</f>
        <v>0</v>
      </c>
      <c r="E21" s="230">
        <f t="shared" si="2"/>
        <v>0</v>
      </c>
      <c r="F21" s="229">
        <f>IF('Soil-F'!G39&lt;0,('Soil-F'!G39*(2.25))*-1,0)</f>
        <v>0</v>
      </c>
      <c r="G21" s="230">
        <f t="shared" si="3"/>
        <v>0</v>
      </c>
      <c r="H21" s="229">
        <f>IF('Soil-F'!G39&lt;0,('Soil-F'!G39*(2.25))*-1,0)</f>
        <v>0</v>
      </c>
      <c r="I21" s="230">
        <f t="shared" si="4"/>
        <v>0</v>
      </c>
      <c r="J21" s="8"/>
    </row>
    <row r="22" spans="1:10" ht="10.5">
      <c r="A22" s="234" t="s">
        <v>46</v>
      </c>
      <c r="B22" s="229">
        <f>IF('Soil-G'!I40&lt;0,('Soil-G'!I40*(2.25))*-1,0)</f>
        <v>53.4375</v>
      </c>
      <c r="C22" s="230">
        <f t="shared" si="1"/>
        <v>5.564479131764691</v>
      </c>
      <c r="D22" s="229">
        <f>IF('Soil-T'!G40&lt;0,('Soil-T'!G40*(2.25))*-1,0)</f>
        <v>54</v>
      </c>
      <c r="E22" s="230">
        <f t="shared" si="2"/>
        <v>5.6230525963095825</v>
      </c>
      <c r="F22" s="229">
        <f>IF('Soil-F'!G40&lt;0,('Soil-F'!G40*(2.25))*-1,0)</f>
        <v>61.875</v>
      </c>
      <c r="G22" s="230">
        <f t="shared" si="3"/>
        <v>6.443081099938064</v>
      </c>
      <c r="H22" s="229">
        <f>IF('Soil-F'!G40&lt;0,('Soil-F'!G40*(2.25))*-1,0)</f>
        <v>61.875</v>
      </c>
      <c r="I22" s="230">
        <f t="shared" si="4"/>
        <v>6.443081099938064</v>
      </c>
      <c r="J22" s="8"/>
    </row>
    <row r="23" spans="1:10" ht="10.5">
      <c r="A23" s="234" t="s">
        <v>49</v>
      </c>
      <c r="B23" s="229">
        <f>IF('Soil-G'!I41&lt;0,('Soil-G'!I41*(2.25))*-1,0)</f>
        <v>0</v>
      </c>
      <c r="C23" s="230">
        <f t="shared" si="1"/>
        <v>0</v>
      </c>
      <c r="D23" s="229">
        <f>IF('Soil-T'!G41&lt;0,('Soil-T'!G41*(2.25))*-1,0)</f>
        <v>2.1149999999999998</v>
      </c>
      <c r="E23" s="230">
        <f t="shared" si="2"/>
        <v>0.22023622668879198</v>
      </c>
      <c r="F23" s="229">
        <f>IF('Soil-F'!G41&lt;0,('Soil-F'!G41*(2.25))*-1,0)</f>
        <v>2.30625</v>
      </c>
      <c r="G23" s="230">
        <f t="shared" si="3"/>
        <v>0.24015120463405512</v>
      </c>
      <c r="H23" s="229">
        <f>IF('Soil-F'!G41&lt;0,('Soil-F'!G41*(2.25))*-1,0)</f>
        <v>2.30625</v>
      </c>
      <c r="I23" s="230">
        <f t="shared" si="4"/>
        <v>0.24015120463405512</v>
      </c>
      <c r="J23" s="8"/>
    </row>
    <row r="24" spans="1:10" ht="10.5">
      <c r="A24" s="234" t="s">
        <v>52</v>
      </c>
      <c r="B24" s="229">
        <f>IF('Soil-G'!I42&lt;0,('Soil-G'!I42*(2.25))*-1,0)</f>
        <v>17.983125</v>
      </c>
      <c r="C24" s="230">
        <f t="shared" si="1"/>
        <v>1.872593661500181</v>
      </c>
      <c r="D24" s="229">
        <f>IF('Soil-T'!G42&lt;0,('Soil-T'!G42*(2.25))*-1,0)</f>
        <v>20.013749999999998</v>
      </c>
      <c r="E24" s="230">
        <f t="shared" si="2"/>
        <v>2.084043868507239</v>
      </c>
      <c r="F24" s="229">
        <f>IF('Soil-F'!G42&lt;0,('Soil-F'!G42*(2.25))*-1,0)</f>
        <v>21.082500000000003</v>
      </c>
      <c r="G24" s="230">
        <f t="shared" si="3"/>
        <v>2.1953334511425333</v>
      </c>
      <c r="H24" s="229">
        <f>IF('Soil-F'!G42&lt;0,('Soil-F'!G42*(2.25))*-1,0)</f>
        <v>21.082500000000003</v>
      </c>
      <c r="I24" s="230">
        <f t="shared" si="4"/>
        <v>2.1953334511425333</v>
      </c>
      <c r="J24" s="8"/>
    </row>
    <row r="25" spans="1:10" ht="10.5">
      <c r="A25" s="235" t="s">
        <v>55</v>
      </c>
      <c r="B25" s="231">
        <f>IF('Soil-G'!I43&lt;0,('Soil-G'!I43*(2.25))*-1,0)</f>
        <v>0</v>
      </c>
      <c r="C25" s="232">
        <f t="shared" si="1"/>
        <v>0</v>
      </c>
      <c r="D25" s="231">
        <f>IF('Soil-T'!G43&lt;0,('Soil-T'!G43*(2.25))*-1,0)</f>
        <v>0</v>
      </c>
      <c r="E25" s="232">
        <f t="shared" si="2"/>
        <v>0</v>
      </c>
      <c r="F25" s="231">
        <f>IF('Soil-F'!G43&lt;0,('Soil-F'!G43*(2.25))*-1,0)</f>
        <v>0</v>
      </c>
      <c r="G25" s="232">
        <f t="shared" si="3"/>
        <v>0</v>
      </c>
      <c r="H25" s="231">
        <f>IF('Soil-F'!G43&lt;0,('Soil-F'!G43*(2.25))*-1,0)</f>
        <v>0</v>
      </c>
      <c r="I25" s="232">
        <f t="shared" si="4"/>
        <v>0</v>
      </c>
      <c r="J25" s="8"/>
    </row>
    <row r="29" spans="1:5" ht="15">
      <c r="A29" s="1"/>
      <c r="B29" s="151"/>
      <c r="C29" s="152"/>
      <c r="D29" s="151"/>
      <c r="E29" s="151"/>
    </row>
    <row r="30" spans="1:5" ht="15">
      <c r="A30" s="1"/>
      <c r="B30" s="151"/>
      <c r="C30" s="152"/>
      <c r="D30" s="151"/>
      <c r="E30" s="151"/>
    </row>
    <row r="31" spans="1:5" ht="15">
      <c r="A31" s="154"/>
      <c r="B31" s="151"/>
      <c r="C31" s="152"/>
      <c r="D31" s="151"/>
      <c r="E31" s="151"/>
    </row>
    <row r="32" spans="1:5" ht="15">
      <c r="A32" s="154"/>
      <c r="B32" s="151"/>
      <c r="C32" s="152"/>
      <c r="D32" s="151"/>
      <c r="E32" s="151"/>
    </row>
    <row r="33" spans="1:5" ht="15">
      <c r="A33" s="154"/>
      <c r="B33" s="151"/>
      <c r="C33" s="152"/>
      <c r="D33" s="151"/>
      <c r="E33" s="151"/>
    </row>
    <row r="34" spans="1:5" ht="15">
      <c r="A34" s="154"/>
      <c r="B34" s="151"/>
      <c r="C34" s="152"/>
      <c r="D34" s="151"/>
      <c r="E34" s="151"/>
    </row>
    <row r="35" spans="1:5" ht="15">
      <c r="A35" s="154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10" ht="15">
      <c r="A43" s="1"/>
      <c r="B43" s="1"/>
      <c r="C43" s="1"/>
      <c r="D43" s="1"/>
      <c r="E43" s="1"/>
      <c r="F43" s="153"/>
      <c r="G43" s="152"/>
      <c r="H43" s="153"/>
      <c r="I43" s="152"/>
      <c r="J43" s="153"/>
    </row>
    <row r="44" spans="1:10" ht="15">
      <c r="A44" s="1"/>
      <c r="B44" s="1"/>
      <c r="C44" s="1"/>
      <c r="D44" s="1"/>
      <c r="E44" s="1"/>
      <c r="F44" s="153"/>
      <c r="G44" s="152"/>
      <c r="H44" s="153"/>
      <c r="I44" s="152"/>
      <c r="J44" s="153"/>
    </row>
    <row r="45" spans="1:10" ht="15">
      <c r="A45" s="1"/>
      <c r="B45" s="1"/>
      <c r="C45" s="1"/>
      <c r="D45" s="1"/>
      <c r="E45" s="1"/>
      <c r="F45" s="153"/>
      <c r="G45" s="152"/>
      <c r="H45" s="153"/>
      <c r="I45" s="152"/>
      <c r="J45" s="153"/>
    </row>
    <row r="46" spans="1:10" ht="15">
      <c r="A46" s="1"/>
      <c r="B46" s="1"/>
      <c r="C46" s="1"/>
      <c r="D46" s="1"/>
      <c r="E46" s="1"/>
      <c r="F46" s="153"/>
      <c r="G46" s="152"/>
      <c r="H46" s="153"/>
      <c r="I46" s="152"/>
      <c r="J46" s="153"/>
    </row>
    <row r="47" spans="1:10" ht="15">
      <c r="A47" s="1"/>
      <c r="B47" s="1"/>
      <c r="C47" s="1"/>
      <c r="D47" s="1"/>
      <c r="E47" s="1"/>
      <c r="F47" s="153"/>
      <c r="G47" s="152"/>
      <c r="H47" s="153"/>
      <c r="I47" s="152"/>
      <c r="J47" s="153"/>
    </row>
    <row r="48" spans="1:10" ht="15">
      <c r="A48" s="1"/>
      <c r="B48" s="1"/>
      <c r="C48" s="1"/>
      <c r="D48" s="1"/>
      <c r="E48" s="1"/>
      <c r="F48" s="153"/>
      <c r="G48" s="152"/>
      <c r="H48" s="153"/>
      <c r="I48" s="152"/>
      <c r="J48" s="153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51"/>
      <c r="C50" s="152"/>
      <c r="D50" s="151"/>
      <c r="E50" s="151"/>
      <c r="F50" s="1"/>
      <c r="G50" s="1"/>
      <c r="H50" s="1"/>
      <c r="I50" s="1"/>
      <c r="J50" s="1"/>
    </row>
    <row r="51" spans="6:12" ht="15">
      <c r="F51" s="1"/>
      <c r="G51" s="1"/>
      <c r="H51" s="1"/>
      <c r="I51" s="1"/>
      <c r="J51" s="1"/>
      <c r="K51" s="1"/>
      <c r="L51" s="1"/>
    </row>
    <row r="52" spans="6:12" ht="15">
      <c r="F52" s="1"/>
      <c r="G52" s="1"/>
      <c r="H52" s="1"/>
      <c r="I52" s="1"/>
      <c r="J52" s="1"/>
      <c r="K52" s="1"/>
      <c r="L52" s="1"/>
    </row>
    <row r="53" spans="6:12" ht="15">
      <c r="F53" s="1"/>
      <c r="G53" s="1"/>
      <c r="H53" s="1"/>
      <c r="I53" s="1"/>
      <c r="J53" s="1"/>
      <c r="K53" s="1"/>
      <c r="L53" s="1"/>
    </row>
    <row r="54" spans="6:12" ht="15">
      <c r="F54" s="1"/>
      <c r="G54" s="1"/>
      <c r="H54" s="1"/>
      <c r="I54" s="1"/>
      <c r="J54" s="1"/>
      <c r="K54" s="1"/>
      <c r="L54" s="1"/>
    </row>
    <row r="55" spans="6:12" ht="15">
      <c r="F55" s="1"/>
      <c r="G55" s="1"/>
      <c r="H55" s="1"/>
      <c r="I55" s="1"/>
      <c r="J55" s="1"/>
      <c r="K55" s="1"/>
      <c r="L55" s="1"/>
    </row>
    <row r="56" spans="6:12" ht="15">
      <c r="F56" s="1"/>
      <c r="G56" s="1"/>
      <c r="H56" s="1"/>
      <c r="I56" s="1"/>
      <c r="J56" s="1"/>
      <c r="K56" s="1"/>
      <c r="L56" s="1"/>
    </row>
    <row r="57" spans="6:12" ht="15">
      <c r="F57" s="1"/>
      <c r="G57" s="1"/>
      <c r="H57" s="1"/>
      <c r="I57" s="1"/>
      <c r="J57" s="1"/>
      <c r="K57" s="1"/>
      <c r="L57" s="1"/>
    </row>
    <row r="58" spans="6:12" ht="15">
      <c r="F58" s="1"/>
      <c r="G58" s="1"/>
      <c r="H58" s="1"/>
      <c r="I58" s="1"/>
      <c r="J58" s="1"/>
      <c r="K58" s="152"/>
      <c r="L58" s="153"/>
    </row>
    <row r="59" spans="6:12" ht="15">
      <c r="F59" s="1"/>
      <c r="G59" s="1"/>
      <c r="H59" s="1"/>
      <c r="I59" s="1"/>
      <c r="J59" s="1"/>
      <c r="K59" s="152"/>
      <c r="L59" s="153"/>
    </row>
    <row r="60" spans="6:12" ht="15">
      <c r="F60" s="1"/>
      <c r="G60" s="1"/>
      <c r="H60" s="1"/>
      <c r="I60" s="1"/>
      <c r="J60" s="1"/>
      <c r="K60" s="152"/>
      <c r="L60" s="153"/>
    </row>
    <row r="61" spans="6:12" ht="15">
      <c r="F61" s="1"/>
      <c r="G61" s="1"/>
      <c r="H61" s="1"/>
      <c r="I61" s="1"/>
      <c r="J61" s="1"/>
      <c r="K61" s="152"/>
      <c r="L61" s="153"/>
    </row>
    <row r="62" spans="6:12" ht="15">
      <c r="F62" s="1"/>
      <c r="G62" s="1"/>
      <c r="H62" s="1"/>
      <c r="I62" s="1"/>
      <c r="J62" s="1"/>
      <c r="K62" s="152"/>
      <c r="L62" s="153"/>
    </row>
    <row r="63" spans="6:12" ht="15">
      <c r="F63" s="1"/>
      <c r="G63" s="1"/>
      <c r="H63" s="1"/>
      <c r="I63" s="1"/>
      <c r="J63" s="1"/>
      <c r="K63" s="152"/>
      <c r="L63" s="153"/>
    </row>
    <row r="64" spans="6:12" ht="15">
      <c r="F64" s="153"/>
      <c r="G64" s="152"/>
      <c r="H64" s="153"/>
      <c r="I64" s="152"/>
      <c r="J64" s="153"/>
      <c r="K64" s="152"/>
      <c r="L64" s="153"/>
    </row>
    <row r="65" spans="11:12" ht="15">
      <c r="K65" s="152"/>
      <c r="L65" s="153"/>
    </row>
    <row r="66" spans="1:12" ht="15">
      <c r="A66" s="1"/>
      <c r="B66" s="151"/>
      <c r="C66" s="152"/>
      <c r="D66" s="151"/>
      <c r="E66" s="151"/>
      <c r="K66" s="152"/>
      <c r="L66" s="153"/>
    </row>
    <row r="67" spans="1:12" ht="15">
      <c r="A67" s="1"/>
      <c r="B67" s="151"/>
      <c r="C67" s="152"/>
      <c r="D67" s="151"/>
      <c r="E67" s="151"/>
      <c r="K67" s="152"/>
      <c r="L67" s="153"/>
    </row>
    <row r="68" spans="1:12" ht="15">
      <c r="A68" s="1"/>
      <c r="B68" s="151"/>
      <c r="C68" s="152"/>
      <c r="D68" s="151"/>
      <c r="E68" s="151"/>
      <c r="K68" s="152"/>
      <c r="L68" s="153"/>
    </row>
    <row r="69" spans="1:12" ht="15">
      <c r="A69" s="1"/>
      <c r="B69" s="151"/>
      <c r="C69" s="152"/>
      <c r="D69" s="151"/>
      <c r="E69" s="151"/>
      <c r="K69" s="152"/>
      <c r="L69" s="153"/>
    </row>
    <row r="70" spans="1:12" ht="15">
      <c r="A70" s="1"/>
      <c r="B70" s="151"/>
      <c r="C70" s="152"/>
      <c r="D70" s="151"/>
      <c r="E70" s="151"/>
      <c r="K70" s="152"/>
      <c r="L70" s="153"/>
    </row>
    <row r="71" spans="1:12" ht="15">
      <c r="A71" s="1"/>
      <c r="B71" s="151"/>
      <c r="C71" s="152"/>
      <c r="D71" s="151"/>
      <c r="E71" s="151"/>
      <c r="K71" s="1"/>
      <c r="L71" s="1"/>
    </row>
    <row r="72" spans="1:12" ht="15">
      <c r="A72" s="1"/>
      <c r="B72" s="151"/>
      <c r="C72" s="152"/>
      <c r="D72" s="151"/>
      <c r="E72" s="151"/>
      <c r="K72" s="1"/>
      <c r="L72" s="1"/>
    </row>
    <row r="73" spans="1:5" ht="15">
      <c r="A73" s="1"/>
      <c r="B73" s="151"/>
      <c r="C73" s="152"/>
      <c r="D73" s="151"/>
      <c r="E73" s="151"/>
    </row>
    <row r="74" spans="1:5" ht="15">
      <c r="A74" s="1"/>
      <c r="B74" s="151"/>
      <c r="C74" s="152"/>
      <c r="D74" s="151"/>
      <c r="E74" s="151"/>
    </row>
    <row r="75" spans="1:5" ht="15">
      <c r="A75" s="1"/>
      <c r="B75" s="151"/>
      <c r="C75" s="152"/>
      <c r="D75" s="151"/>
      <c r="E75" s="151"/>
    </row>
    <row r="76" spans="1:5" ht="15">
      <c r="A76" s="1"/>
      <c r="B76" s="151"/>
      <c r="C76" s="152"/>
      <c r="D76" s="151"/>
      <c r="E76" s="151"/>
    </row>
    <row r="77" spans="1:5" ht="15">
      <c r="A77" s="1"/>
      <c r="B77" s="151"/>
      <c r="C77" s="152"/>
      <c r="D77" s="151"/>
      <c r="E77" s="151"/>
    </row>
    <row r="78" spans="1:5" ht="15">
      <c r="A78" s="1"/>
      <c r="B78" s="151"/>
      <c r="C78" s="152"/>
      <c r="D78" s="151"/>
      <c r="E78" s="151"/>
    </row>
    <row r="79" spans="1:5" ht="15">
      <c r="A79" s="1"/>
      <c r="B79" s="151"/>
      <c r="C79" s="152"/>
      <c r="D79" s="151"/>
      <c r="E79" s="151"/>
    </row>
    <row r="80" spans="1:10" ht="15">
      <c r="A80" s="1"/>
      <c r="B80" s="151"/>
      <c r="C80" s="152"/>
      <c r="D80" s="151"/>
      <c r="E80" s="151"/>
      <c r="F80" s="153"/>
      <c r="G80" s="152"/>
      <c r="H80" s="153"/>
      <c r="I80" s="152"/>
      <c r="J80" s="153"/>
    </row>
    <row r="81" spans="2:12" s="1" customFormat="1" ht="15">
      <c r="B81" s="151"/>
      <c r="C81" s="152"/>
      <c r="D81" s="151"/>
      <c r="E81" s="151"/>
      <c r="F81" s="153"/>
      <c r="G81" s="152"/>
      <c r="H81" s="153"/>
      <c r="I81" s="152"/>
      <c r="J81" s="153"/>
      <c r="K81" s="8"/>
      <c r="L81" s="8"/>
    </row>
    <row r="82" spans="2:12" s="1" customFormat="1" ht="15">
      <c r="B82" s="151"/>
      <c r="C82" s="152"/>
      <c r="D82" s="151"/>
      <c r="E82" s="151"/>
      <c r="F82" s="153"/>
      <c r="G82" s="152"/>
      <c r="H82" s="153"/>
      <c r="I82" s="152"/>
      <c r="J82" s="153"/>
      <c r="K82" s="8"/>
      <c r="L82" s="8"/>
    </row>
    <row r="83" spans="2:12" s="1" customFormat="1" ht="15">
      <c r="B83" s="151"/>
      <c r="C83" s="152"/>
      <c r="D83" s="151"/>
      <c r="E83" s="151"/>
      <c r="F83" s="153"/>
      <c r="G83" s="152"/>
      <c r="H83" s="153"/>
      <c r="I83" s="152"/>
      <c r="J83" s="153"/>
      <c r="K83" s="8"/>
      <c r="L83" s="8"/>
    </row>
    <row r="84" spans="2:12" s="1" customFormat="1" ht="15">
      <c r="B84" s="151"/>
      <c r="C84" s="152"/>
      <c r="D84" s="151"/>
      <c r="E84" s="151"/>
      <c r="F84" s="153"/>
      <c r="G84" s="152"/>
      <c r="H84" s="153"/>
      <c r="I84" s="152"/>
      <c r="J84" s="153"/>
      <c r="K84" s="8"/>
      <c r="L84" s="8"/>
    </row>
    <row r="85" spans="2:12" s="1" customFormat="1" ht="15">
      <c r="B85" s="151"/>
      <c r="C85" s="152"/>
      <c r="D85" s="151"/>
      <c r="E85" s="151"/>
      <c r="F85" s="153"/>
      <c r="G85" s="152"/>
      <c r="H85" s="153"/>
      <c r="I85" s="152"/>
      <c r="J85" s="153"/>
      <c r="K85" s="8"/>
      <c r="L85" s="8"/>
    </row>
    <row r="86" spans="2:12" s="1" customFormat="1" ht="15">
      <c r="B86" s="151"/>
      <c r="C86" s="152"/>
      <c r="D86" s="151"/>
      <c r="E86" s="151"/>
      <c r="F86" s="153"/>
      <c r="G86" s="152"/>
      <c r="H86" s="153"/>
      <c r="I86" s="152"/>
      <c r="J86" s="153"/>
      <c r="K86" s="8"/>
      <c r="L86" s="8"/>
    </row>
    <row r="87" spans="2:12" s="1" customFormat="1" ht="15">
      <c r="B87" s="151"/>
      <c r="C87" s="152"/>
      <c r="D87" s="151"/>
      <c r="E87" s="151"/>
      <c r="F87" s="153"/>
      <c r="G87" s="152"/>
      <c r="H87" s="153"/>
      <c r="I87" s="152"/>
      <c r="J87" s="153"/>
      <c r="K87" s="8"/>
      <c r="L87" s="8"/>
    </row>
    <row r="88" spans="2:10" s="1" customFormat="1" ht="15">
      <c r="B88" s="151"/>
      <c r="C88" s="152"/>
      <c r="D88" s="151"/>
      <c r="E88" s="151"/>
      <c r="F88" s="153"/>
      <c r="G88" s="152"/>
      <c r="H88" s="153"/>
      <c r="I88" s="152"/>
      <c r="J88" s="153"/>
    </row>
    <row r="89" spans="2:10" s="1" customFormat="1" ht="15">
      <c r="B89" s="151"/>
      <c r="C89" s="152"/>
      <c r="D89" s="151"/>
      <c r="E89" s="151"/>
      <c r="F89" s="153"/>
      <c r="G89" s="152"/>
      <c r="H89" s="153"/>
      <c r="I89" s="152"/>
      <c r="J89" s="153"/>
    </row>
    <row r="90" spans="2:10" s="1" customFormat="1" ht="15">
      <c r="B90" s="151"/>
      <c r="C90" s="152"/>
      <c r="D90" s="151"/>
      <c r="E90" s="151"/>
      <c r="F90" s="153"/>
      <c r="G90" s="152"/>
      <c r="H90" s="153"/>
      <c r="I90" s="152"/>
      <c r="J90" s="153"/>
    </row>
    <row r="91" spans="2:10" s="1" customFormat="1" ht="15">
      <c r="B91" s="151"/>
      <c r="C91" s="152"/>
      <c r="D91" s="151"/>
      <c r="E91" s="151"/>
      <c r="F91" s="153"/>
      <c r="G91" s="152"/>
      <c r="H91" s="153"/>
      <c r="I91" s="152"/>
      <c r="J91" s="153"/>
    </row>
    <row r="92" spans="2:10" s="1" customFormat="1" ht="15">
      <c r="B92" s="151"/>
      <c r="C92" s="152"/>
      <c r="D92" s="151"/>
      <c r="E92" s="151"/>
      <c r="F92" s="153"/>
      <c r="G92" s="152"/>
      <c r="H92" s="153"/>
      <c r="I92" s="152"/>
      <c r="J92" s="153"/>
    </row>
    <row r="93" spans="2:10" s="1" customFormat="1" ht="15">
      <c r="B93" s="151"/>
      <c r="C93" s="152"/>
      <c r="D93" s="151"/>
      <c r="E93" s="151"/>
      <c r="F93" s="153"/>
      <c r="G93" s="152"/>
      <c r="H93" s="153"/>
      <c r="I93" s="152"/>
      <c r="J93" s="153"/>
    </row>
    <row r="94" spans="2:10" s="1" customFormat="1" ht="15">
      <c r="B94" s="151"/>
      <c r="C94" s="152"/>
      <c r="D94" s="151"/>
      <c r="E94" s="151"/>
      <c r="F94" s="153"/>
      <c r="G94" s="152"/>
      <c r="H94" s="153"/>
      <c r="I94" s="152"/>
      <c r="J94" s="153"/>
    </row>
    <row r="95" spans="2:10" s="1" customFormat="1" ht="15">
      <c r="B95" s="151"/>
      <c r="C95" s="152"/>
      <c r="D95" s="151"/>
      <c r="E95" s="151"/>
      <c r="F95" s="153"/>
      <c r="G95" s="152"/>
      <c r="H95" s="153"/>
      <c r="I95" s="152"/>
      <c r="J95" s="153"/>
    </row>
    <row r="96" spans="2:10" s="1" customFormat="1" ht="15">
      <c r="B96" s="151"/>
      <c r="C96" s="152"/>
      <c r="D96" s="151"/>
      <c r="E96" s="151"/>
      <c r="F96" s="153"/>
      <c r="G96" s="152"/>
      <c r="H96" s="153"/>
      <c r="I96" s="152"/>
      <c r="J96" s="153"/>
    </row>
    <row r="97" spans="2:10" s="1" customFormat="1" ht="15">
      <c r="B97" s="151"/>
      <c r="C97" s="152"/>
      <c r="D97" s="151"/>
      <c r="E97" s="151"/>
      <c r="F97" s="153"/>
      <c r="G97" s="152"/>
      <c r="H97" s="153"/>
      <c r="I97" s="152"/>
      <c r="J97" s="153"/>
    </row>
    <row r="98" spans="2:10" s="1" customFormat="1" ht="15">
      <c r="B98" s="151"/>
      <c r="C98" s="152"/>
      <c r="D98" s="151"/>
      <c r="E98" s="151"/>
      <c r="F98" s="153"/>
      <c r="G98" s="152"/>
      <c r="H98" s="153"/>
      <c r="I98" s="152"/>
      <c r="J98" s="153"/>
    </row>
    <row r="99" spans="2:10" s="1" customFormat="1" ht="15">
      <c r="B99" s="151"/>
      <c r="C99" s="152"/>
      <c r="D99" s="151"/>
      <c r="E99" s="151"/>
      <c r="F99" s="153"/>
      <c r="G99" s="152"/>
      <c r="H99" s="153"/>
      <c r="I99" s="152"/>
      <c r="J99" s="153"/>
    </row>
    <row r="100" spans="2:10" s="1" customFormat="1" ht="15">
      <c r="B100" s="151"/>
      <c r="C100" s="152"/>
      <c r="D100" s="151"/>
      <c r="E100" s="151"/>
      <c r="F100" s="153"/>
      <c r="G100" s="152"/>
      <c r="H100" s="153"/>
      <c r="I100" s="152"/>
      <c r="J100" s="153"/>
    </row>
    <row r="101" spans="2:10" s="1" customFormat="1" ht="15">
      <c r="B101" s="151"/>
      <c r="C101" s="152"/>
      <c r="D101" s="151"/>
      <c r="E101" s="151"/>
      <c r="F101" s="153"/>
      <c r="G101" s="152"/>
      <c r="H101" s="153"/>
      <c r="I101" s="152"/>
      <c r="J101" s="153"/>
    </row>
    <row r="102" spans="2:10" s="1" customFormat="1" ht="15">
      <c r="B102" s="151"/>
      <c r="C102" s="152"/>
      <c r="D102" s="151"/>
      <c r="E102" s="151"/>
      <c r="F102" s="153"/>
      <c r="G102" s="152"/>
      <c r="H102" s="153"/>
      <c r="I102" s="152"/>
      <c r="J102" s="153"/>
    </row>
    <row r="103" spans="1:12" ht="15">
      <c r="A103" s="1"/>
      <c r="B103" s="151"/>
      <c r="C103" s="152"/>
      <c r="D103" s="151"/>
      <c r="E103" s="151"/>
      <c r="F103" s="153"/>
      <c r="G103" s="152"/>
      <c r="H103" s="153"/>
      <c r="I103" s="152"/>
      <c r="J103" s="153"/>
      <c r="K103" s="1"/>
      <c r="L103" s="1"/>
    </row>
    <row r="104" spans="1:12" ht="15">
      <c r="A104" s="1"/>
      <c r="B104" s="151"/>
      <c r="C104" s="152"/>
      <c r="D104" s="151"/>
      <c r="E104" s="151"/>
      <c r="F104" s="153"/>
      <c r="G104" s="152"/>
      <c r="H104" s="153"/>
      <c r="I104" s="152"/>
      <c r="J104" s="153"/>
      <c r="K104" s="1"/>
      <c r="L104" s="1"/>
    </row>
    <row r="105" spans="1:12" ht="15">
      <c r="A105" s="1"/>
      <c r="B105" s="151"/>
      <c r="C105" s="152"/>
      <c r="D105" s="151"/>
      <c r="E105" s="151"/>
      <c r="F105" s="153"/>
      <c r="G105" s="152"/>
      <c r="H105" s="153"/>
      <c r="I105" s="152"/>
      <c r="J105" s="153"/>
      <c r="K105" s="1"/>
      <c r="L105" s="1"/>
    </row>
    <row r="106" spans="1:12" ht="15">
      <c r="A106" s="1"/>
      <c r="B106" s="151"/>
      <c r="C106" s="152"/>
      <c r="D106" s="151"/>
      <c r="E106" s="151"/>
      <c r="F106" s="153"/>
      <c r="G106" s="152"/>
      <c r="H106" s="153"/>
      <c r="I106" s="152"/>
      <c r="J106" s="153"/>
      <c r="K106" s="1"/>
      <c r="L106" s="1"/>
    </row>
    <row r="107" spans="1:12" ht="15">
      <c r="A107" s="1"/>
      <c r="B107" s="151"/>
      <c r="C107" s="152"/>
      <c r="D107" s="151"/>
      <c r="E107" s="151"/>
      <c r="F107" s="153"/>
      <c r="G107" s="152"/>
      <c r="H107" s="153"/>
      <c r="I107" s="152"/>
      <c r="J107" s="153"/>
      <c r="K107" s="1"/>
      <c r="L107" s="1"/>
    </row>
    <row r="108" spans="1:12" ht="15">
      <c r="A108" s="1"/>
      <c r="B108" s="151"/>
      <c r="C108" s="152"/>
      <c r="D108" s="151"/>
      <c r="E108" s="151"/>
      <c r="F108" s="153"/>
      <c r="G108" s="152"/>
      <c r="H108" s="153"/>
      <c r="I108" s="152"/>
      <c r="J108" s="153"/>
      <c r="K108" s="1"/>
      <c r="L108" s="1"/>
    </row>
    <row r="109" spans="1:12" ht="15">
      <c r="A109" s="1"/>
      <c r="B109" s="151"/>
      <c r="C109" s="152"/>
      <c r="D109" s="151"/>
      <c r="E109" s="151"/>
      <c r="F109" s="153"/>
      <c r="G109" s="152"/>
      <c r="H109" s="153"/>
      <c r="I109" s="152"/>
      <c r="J109" s="153"/>
      <c r="K109" s="1"/>
      <c r="L109" s="1"/>
    </row>
    <row r="110" spans="1:12" ht="15">
      <c r="A110" s="1"/>
      <c r="B110" s="151"/>
      <c r="C110" s="152"/>
      <c r="D110" s="151"/>
      <c r="E110" s="151"/>
      <c r="F110" s="153"/>
      <c r="G110" s="152"/>
      <c r="H110" s="153"/>
      <c r="I110" s="152"/>
      <c r="J110" s="153"/>
      <c r="K110" s="1"/>
      <c r="L110" s="1"/>
    </row>
    <row r="111" spans="1:12" ht="15">
      <c r="A111" s="1"/>
      <c r="B111" s="151"/>
      <c r="C111" s="152"/>
      <c r="D111" s="151"/>
      <c r="E111" s="151"/>
      <c r="F111" s="153"/>
      <c r="G111" s="152"/>
      <c r="H111" s="153"/>
      <c r="I111" s="152"/>
      <c r="J111" s="153"/>
      <c r="K111" s="1"/>
      <c r="L111" s="1"/>
    </row>
    <row r="112" spans="1:12" ht="15">
      <c r="A112" s="1"/>
      <c r="B112" s="151"/>
      <c r="C112" s="152"/>
      <c r="D112" s="151"/>
      <c r="E112" s="151"/>
      <c r="F112" s="153"/>
      <c r="G112" s="152"/>
      <c r="H112" s="153"/>
      <c r="I112" s="152"/>
      <c r="J112" s="153"/>
      <c r="K112" s="1"/>
      <c r="L112" s="1"/>
    </row>
    <row r="113" spans="1:12" ht="15">
      <c r="A113" s="1"/>
      <c r="B113" s="151"/>
      <c r="C113" s="152"/>
      <c r="D113" s="151"/>
      <c r="E113" s="151"/>
      <c r="F113" s="153"/>
      <c r="G113" s="152"/>
      <c r="H113" s="153"/>
      <c r="I113" s="152"/>
      <c r="J113" s="153"/>
      <c r="K113" s="1"/>
      <c r="L113" s="1"/>
    </row>
    <row r="114" spans="1:12" ht="15">
      <c r="A114" s="1"/>
      <c r="B114" s="151"/>
      <c r="C114" s="152"/>
      <c r="D114" s="151"/>
      <c r="E114" s="151"/>
      <c r="F114" s="153"/>
      <c r="G114" s="152"/>
      <c r="H114" s="153"/>
      <c r="I114" s="152"/>
      <c r="J114" s="153"/>
      <c r="K114" s="1"/>
      <c r="L114" s="1"/>
    </row>
    <row r="115" spans="1:12" ht="15">
      <c r="A115" s="1"/>
      <c r="B115" s="151"/>
      <c r="C115" s="152"/>
      <c r="D115" s="151"/>
      <c r="E115" s="151"/>
      <c r="F115" s="153"/>
      <c r="G115" s="152"/>
      <c r="H115" s="153"/>
      <c r="I115" s="152"/>
      <c r="J115" s="153"/>
      <c r="K115" s="1"/>
      <c r="L115" s="1"/>
    </row>
    <row r="116" spans="1:12" ht="15">
      <c r="A116" s="1"/>
      <c r="B116" s="151"/>
      <c r="C116" s="152"/>
      <c r="D116" s="151"/>
      <c r="E116" s="151"/>
      <c r="F116" s="153"/>
      <c r="G116" s="152"/>
      <c r="H116" s="153"/>
      <c r="I116" s="152"/>
      <c r="J116" s="153"/>
      <c r="K116" s="1"/>
      <c r="L116" s="1"/>
    </row>
    <row r="117" spans="1:12" ht="15">
      <c r="A117" s="1"/>
      <c r="B117" s="151"/>
      <c r="C117" s="152"/>
      <c r="D117" s="151"/>
      <c r="E117" s="151"/>
      <c r="F117" s="153"/>
      <c r="G117" s="152"/>
      <c r="H117" s="153"/>
      <c r="I117" s="152"/>
      <c r="J117" s="153"/>
      <c r="K117" s="1"/>
      <c r="L117" s="1"/>
    </row>
    <row r="118" spans="2:10" s="1" customFormat="1" ht="15">
      <c r="B118" s="151"/>
      <c r="C118" s="152"/>
      <c r="D118" s="151"/>
      <c r="E118" s="151"/>
      <c r="F118" s="153"/>
      <c r="G118" s="152"/>
      <c r="H118" s="153"/>
      <c r="I118" s="152"/>
      <c r="J118" s="153"/>
    </row>
    <row r="119" spans="2:10" s="1" customFormat="1" ht="15">
      <c r="B119" s="151"/>
      <c r="C119" s="152"/>
      <c r="D119" s="151"/>
      <c r="E119" s="151"/>
      <c r="F119" s="153"/>
      <c r="G119" s="152"/>
      <c r="H119" s="153"/>
      <c r="I119" s="152"/>
      <c r="J119" s="153"/>
    </row>
    <row r="120" spans="2:10" s="1" customFormat="1" ht="15">
      <c r="B120" s="151"/>
      <c r="C120" s="152"/>
      <c r="D120" s="151"/>
      <c r="E120" s="151"/>
      <c r="F120" s="153"/>
      <c r="G120" s="152"/>
      <c r="H120" s="153"/>
      <c r="I120" s="152"/>
      <c r="J120" s="153"/>
    </row>
    <row r="121" spans="1:10" s="1" customFormat="1" ht="15">
      <c r="A121" s="8"/>
      <c r="B121" s="57"/>
      <c r="C121" s="121"/>
      <c r="D121" s="57"/>
      <c r="E121" s="57"/>
      <c r="F121" s="153"/>
      <c r="G121" s="152"/>
      <c r="H121" s="153"/>
      <c r="I121" s="152"/>
      <c r="J121" s="153"/>
    </row>
    <row r="122" spans="1:10" s="1" customFormat="1" ht="15">
      <c r="A122" s="8"/>
      <c r="B122" s="57"/>
      <c r="C122" s="121"/>
      <c r="D122" s="57"/>
      <c r="E122" s="57"/>
      <c r="F122" s="153"/>
      <c r="G122" s="152"/>
      <c r="H122" s="153"/>
      <c r="I122" s="152"/>
      <c r="J122" s="153"/>
    </row>
    <row r="123" spans="1:10" s="1" customFormat="1" ht="15">
      <c r="A123" s="8"/>
      <c r="B123" s="57"/>
      <c r="C123" s="121"/>
      <c r="D123" s="57"/>
      <c r="E123" s="57"/>
      <c r="F123" s="153"/>
      <c r="G123" s="152"/>
      <c r="H123" s="153"/>
      <c r="I123" s="152"/>
      <c r="J123" s="153"/>
    </row>
    <row r="124" spans="1:10" s="1" customFormat="1" ht="15">
      <c r="A124" s="8"/>
      <c r="B124" s="57"/>
      <c r="C124" s="121"/>
      <c r="D124" s="57"/>
      <c r="E124" s="57"/>
      <c r="F124" s="153"/>
      <c r="G124" s="152"/>
      <c r="H124" s="153"/>
      <c r="I124" s="152"/>
      <c r="J124" s="153"/>
    </row>
    <row r="125" spans="1:10" s="1" customFormat="1" ht="15">
      <c r="A125" s="8"/>
      <c r="B125" s="57"/>
      <c r="C125" s="121"/>
      <c r="D125" s="57"/>
      <c r="E125" s="57"/>
      <c r="F125" s="153"/>
      <c r="G125" s="152"/>
      <c r="H125" s="153"/>
      <c r="I125" s="152"/>
      <c r="J125" s="153"/>
    </row>
    <row r="126" spans="1:10" s="1" customFormat="1" ht="15">
      <c r="A126" s="8"/>
      <c r="B126" s="57"/>
      <c r="C126" s="121"/>
      <c r="D126" s="57"/>
      <c r="E126" s="57"/>
      <c r="F126" s="153"/>
      <c r="G126" s="152"/>
      <c r="H126" s="153"/>
      <c r="I126" s="152"/>
      <c r="J126" s="153"/>
    </row>
    <row r="127" spans="1:10" s="1" customFormat="1" ht="15">
      <c r="A127" s="8"/>
      <c r="B127" s="57"/>
      <c r="C127" s="121"/>
      <c r="D127" s="57"/>
      <c r="E127" s="57"/>
      <c r="F127" s="153"/>
      <c r="G127" s="152"/>
      <c r="H127" s="153"/>
      <c r="I127" s="152"/>
      <c r="J127" s="153"/>
    </row>
    <row r="128" spans="1:10" s="1" customFormat="1" ht="15">
      <c r="A128" s="8"/>
      <c r="B128" s="57"/>
      <c r="C128" s="121"/>
      <c r="D128" s="57"/>
      <c r="E128" s="57"/>
      <c r="F128" s="153"/>
      <c r="G128" s="152"/>
      <c r="H128" s="153"/>
      <c r="I128" s="152"/>
      <c r="J128" s="153"/>
    </row>
    <row r="129" spans="1:10" s="1" customFormat="1" ht="15">
      <c r="A129" s="8"/>
      <c r="B129" s="57"/>
      <c r="C129" s="121"/>
      <c r="D129" s="57"/>
      <c r="E129" s="57"/>
      <c r="F129" s="153"/>
      <c r="G129" s="152"/>
      <c r="H129" s="153"/>
      <c r="I129" s="152"/>
      <c r="J129" s="153"/>
    </row>
    <row r="130" spans="1:10" s="1" customFormat="1" ht="15">
      <c r="A130" s="8"/>
      <c r="B130" s="57"/>
      <c r="C130" s="121"/>
      <c r="D130" s="57"/>
      <c r="E130" s="57"/>
      <c r="F130" s="153"/>
      <c r="G130" s="152"/>
      <c r="H130" s="153"/>
      <c r="I130" s="152"/>
      <c r="J130" s="153"/>
    </row>
    <row r="131" spans="1:10" s="1" customFormat="1" ht="15">
      <c r="A131" s="8"/>
      <c r="B131" s="57"/>
      <c r="C131" s="121"/>
      <c r="D131" s="57"/>
      <c r="E131" s="57"/>
      <c r="F131" s="153"/>
      <c r="G131" s="152"/>
      <c r="H131" s="153"/>
      <c r="I131" s="152"/>
      <c r="J131" s="153"/>
    </row>
    <row r="132" spans="1:10" s="1" customFormat="1" ht="15">
      <c r="A132" s="8"/>
      <c r="B132" s="57"/>
      <c r="C132" s="121"/>
      <c r="D132" s="57"/>
      <c r="E132" s="57"/>
      <c r="F132" s="153"/>
      <c r="G132" s="152"/>
      <c r="H132" s="153"/>
      <c r="I132" s="152"/>
      <c r="J132" s="153"/>
    </row>
    <row r="133" spans="1:10" s="1" customFormat="1" ht="15">
      <c r="A133" s="8"/>
      <c r="B133" s="57"/>
      <c r="C133" s="121"/>
      <c r="D133" s="57"/>
      <c r="E133" s="57"/>
      <c r="F133" s="153"/>
      <c r="G133" s="152"/>
      <c r="H133" s="153"/>
      <c r="I133" s="152"/>
      <c r="J133" s="153"/>
    </row>
    <row r="134" spans="1:10" s="1" customFormat="1" ht="15">
      <c r="A134" s="8"/>
      <c r="B134" s="57"/>
      <c r="C134" s="121"/>
      <c r="D134" s="57"/>
      <c r="E134" s="57"/>
      <c r="F134" s="153"/>
      <c r="G134" s="152"/>
      <c r="H134" s="153"/>
      <c r="I134" s="152"/>
      <c r="J134" s="153"/>
    </row>
    <row r="135" spans="1:10" s="1" customFormat="1" ht="15">
      <c r="A135" s="8"/>
      <c r="B135" s="57"/>
      <c r="C135" s="121"/>
      <c r="D135" s="57"/>
      <c r="E135" s="57"/>
      <c r="F135" s="122"/>
      <c r="G135" s="121"/>
      <c r="H135" s="122"/>
      <c r="I135" s="121"/>
      <c r="J135" s="122"/>
    </row>
    <row r="136" spans="1:10" s="1" customFormat="1" ht="15">
      <c r="A136" s="8"/>
      <c r="B136" s="57"/>
      <c r="C136" s="121"/>
      <c r="D136" s="57"/>
      <c r="E136" s="57"/>
      <c r="F136" s="122"/>
      <c r="G136" s="121"/>
      <c r="H136" s="122"/>
      <c r="I136" s="121"/>
      <c r="J136" s="122"/>
    </row>
    <row r="137" spans="1:10" s="1" customFormat="1" ht="15">
      <c r="A137" s="8"/>
      <c r="B137" s="57"/>
      <c r="C137" s="121"/>
      <c r="D137" s="57"/>
      <c r="E137" s="57"/>
      <c r="F137" s="122"/>
      <c r="G137" s="121"/>
      <c r="H137" s="122"/>
      <c r="I137" s="121"/>
      <c r="J137" s="122"/>
    </row>
    <row r="138" spans="1:10" s="1" customFormat="1" ht="15">
      <c r="A138" s="8"/>
      <c r="B138" s="57"/>
      <c r="C138" s="121"/>
      <c r="D138" s="57"/>
      <c r="E138" s="57"/>
      <c r="F138" s="122"/>
      <c r="G138" s="121"/>
      <c r="H138" s="122"/>
      <c r="I138" s="121"/>
      <c r="J138" s="122"/>
    </row>
    <row r="139" spans="1:10" s="1" customFormat="1" ht="15">
      <c r="A139" s="8"/>
      <c r="B139" s="57"/>
      <c r="C139" s="121"/>
      <c r="D139" s="57"/>
      <c r="E139" s="57"/>
      <c r="F139" s="122"/>
      <c r="G139" s="121"/>
      <c r="H139" s="122"/>
      <c r="I139" s="121"/>
      <c r="J139" s="122"/>
    </row>
    <row r="140" spans="1:10" s="1" customFormat="1" ht="15">
      <c r="A140" s="8"/>
      <c r="B140" s="57"/>
      <c r="C140" s="121"/>
      <c r="D140" s="57"/>
      <c r="E140" s="57"/>
      <c r="F140" s="122"/>
      <c r="G140" s="121"/>
      <c r="H140" s="122"/>
      <c r="I140" s="121"/>
      <c r="J140" s="122"/>
    </row>
    <row r="141" spans="1:10" s="1" customFormat="1" ht="15">
      <c r="A141" s="8"/>
      <c r="B141" s="57"/>
      <c r="C141" s="121"/>
      <c r="D141" s="57"/>
      <c r="E141" s="57"/>
      <c r="F141" s="122"/>
      <c r="G141" s="121"/>
      <c r="H141" s="122"/>
      <c r="I141" s="121"/>
      <c r="J141" s="122"/>
    </row>
    <row r="142" spans="1:10" s="1" customFormat="1" ht="15">
      <c r="A142" s="8"/>
      <c r="B142" s="57"/>
      <c r="C142" s="121"/>
      <c r="D142" s="57"/>
      <c r="E142" s="57"/>
      <c r="F142" s="122"/>
      <c r="G142" s="121"/>
      <c r="H142" s="122"/>
      <c r="I142" s="121"/>
      <c r="J142" s="122"/>
    </row>
    <row r="143" spans="1:12" s="1" customFormat="1" ht="15">
      <c r="A143" s="8"/>
      <c r="B143" s="57"/>
      <c r="C143" s="121"/>
      <c r="D143" s="57"/>
      <c r="E143" s="57"/>
      <c r="F143" s="122"/>
      <c r="G143" s="121"/>
      <c r="H143" s="122"/>
      <c r="I143" s="121"/>
      <c r="J143" s="122"/>
      <c r="K143" s="8"/>
      <c r="L143" s="8"/>
    </row>
    <row r="144" spans="1:12" s="1" customFormat="1" ht="15">
      <c r="A144" s="8"/>
      <c r="B144" s="57"/>
      <c r="C144" s="121"/>
      <c r="D144" s="57"/>
      <c r="E144" s="57"/>
      <c r="F144" s="122"/>
      <c r="G144" s="121"/>
      <c r="H144" s="122"/>
      <c r="I144" s="121"/>
      <c r="J144" s="122"/>
      <c r="K144" s="8"/>
      <c r="L144" s="8"/>
    </row>
    <row r="145" spans="1:12" s="1" customFormat="1" ht="15">
      <c r="A145" s="8"/>
      <c r="B145" s="57"/>
      <c r="C145" s="121"/>
      <c r="D145" s="57"/>
      <c r="E145" s="57"/>
      <c r="F145" s="122"/>
      <c r="G145" s="121"/>
      <c r="H145" s="122"/>
      <c r="I145" s="121"/>
      <c r="J145" s="122"/>
      <c r="K145" s="8"/>
      <c r="L145" s="8"/>
    </row>
    <row r="146" spans="1:12" s="1" customFormat="1" ht="15">
      <c r="A146" s="8"/>
      <c r="B146" s="57"/>
      <c r="C146" s="121"/>
      <c r="D146" s="57"/>
      <c r="E146" s="57"/>
      <c r="F146" s="122"/>
      <c r="G146" s="121"/>
      <c r="H146" s="122"/>
      <c r="I146" s="121"/>
      <c r="J146" s="122"/>
      <c r="K146" s="8"/>
      <c r="L146" s="8"/>
    </row>
    <row r="147" spans="1:12" s="1" customFormat="1" ht="15">
      <c r="A147" s="8"/>
      <c r="B147" s="57"/>
      <c r="C147" s="121"/>
      <c r="D147" s="57"/>
      <c r="E147" s="57"/>
      <c r="F147" s="122"/>
      <c r="G147" s="121"/>
      <c r="H147" s="122"/>
      <c r="I147" s="121"/>
      <c r="J147" s="122"/>
      <c r="K147" s="8"/>
      <c r="L147" s="8"/>
    </row>
    <row r="148" spans="1:12" s="1" customFormat="1" ht="15">
      <c r="A148" s="8"/>
      <c r="B148" s="57"/>
      <c r="C148" s="121"/>
      <c r="D148" s="57"/>
      <c r="E148" s="57"/>
      <c r="F148" s="122"/>
      <c r="G148" s="121"/>
      <c r="H148" s="122"/>
      <c r="I148" s="121"/>
      <c r="J148" s="122"/>
      <c r="K148" s="8"/>
      <c r="L148" s="8"/>
    </row>
    <row r="149" spans="1:12" s="1" customFormat="1" ht="15">
      <c r="A149" s="8"/>
      <c r="B149" s="57"/>
      <c r="C149" s="121"/>
      <c r="D149" s="57"/>
      <c r="E149" s="57"/>
      <c r="F149" s="122"/>
      <c r="G149" s="121"/>
      <c r="H149" s="122"/>
      <c r="I149" s="121"/>
      <c r="J149" s="122"/>
      <c r="K149" s="8"/>
      <c r="L149" s="8"/>
    </row>
    <row r="150" spans="1:12" s="1" customFormat="1" ht="15">
      <c r="A150" s="8"/>
      <c r="B150" s="57"/>
      <c r="C150" s="121"/>
      <c r="D150" s="57"/>
      <c r="E150" s="57"/>
      <c r="F150" s="122"/>
      <c r="G150" s="121"/>
      <c r="H150" s="122"/>
      <c r="I150" s="121"/>
      <c r="J150" s="122"/>
      <c r="K150" s="8"/>
      <c r="L150" s="8"/>
    </row>
    <row r="151" spans="1:12" s="1" customFormat="1" ht="15">
      <c r="A151" s="8"/>
      <c r="B151" s="57"/>
      <c r="C151" s="121"/>
      <c r="D151" s="57"/>
      <c r="E151" s="57"/>
      <c r="F151" s="122"/>
      <c r="G151" s="121"/>
      <c r="H151" s="122"/>
      <c r="I151" s="121"/>
      <c r="J151" s="122"/>
      <c r="K151" s="8"/>
      <c r="L151" s="8"/>
    </row>
    <row r="152" spans="1:12" s="1" customFormat="1" ht="15">
      <c r="A152" s="8"/>
      <c r="B152" s="57"/>
      <c r="C152" s="121"/>
      <c r="D152" s="57"/>
      <c r="E152" s="57"/>
      <c r="F152" s="122"/>
      <c r="G152" s="121"/>
      <c r="H152" s="122"/>
      <c r="I152" s="121"/>
      <c r="J152" s="122"/>
      <c r="K152" s="8"/>
      <c r="L152" s="8"/>
    </row>
    <row r="153" spans="1:12" s="1" customFormat="1" ht="15">
      <c r="A153" s="8"/>
      <c r="B153" s="57"/>
      <c r="C153" s="121"/>
      <c r="D153" s="57"/>
      <c r="E153" s="57"/>
      <c r="F153" s="122"/>
      <c r="G153" s="121"/>
      <c r="H153" s="122"/>
      <c r="I153" s="121"/>
      <c r="J153" s="122"/>
      <c r="K153" s="8"/>
      <c r="L153" s="8"/>
    </row>
    <row r="154" spans="1:12" s="1" customFormat="1" ht="15">
      <c r="A154" s="8"/>
      <c r="B154" s="57"/>
      <c r="C154" s="121"/>
      <c r="D154" s="57"/>
      <c r="E154" s="57"/>
      <c r="F154" s="122"/>
      <c r="G154" s="121"/>
      <c r="H154" s="122"/>
      <c r="I154" s="121"/>
      <c r="J154" s="122"/>
      <c r="K154" s="8"/>
      <c r="L154" s="8"/>
    </row>
    <row r="155" spans="1:12" s="1" customFormat="1" ht="15">
      <c r="A155" s="8"/>
      <c r="B155" s="57"/>
      <c r="C155" s="121"/>
      <c r="D155" s="57"/>
      <c r="E155" s="57"/>
      <c r="F155" s="122"/>
      <c r="G155" s="121"/>
      <c r="H155" s="122"/>
      <c r="I155" s="121"/>
      <c r="J155" s="122"/>
      <c r="K155" s="8"/>
      <c r="L155" s="8"/>
    </row>
    <row r="156" spans="1:12" s="1" customFormat="1" ht="15">
      <c r="A156" s="8"/>
      <c r="B156" s="57"/>
      <c r="C156" s="121"/>
      <c r="D156" s="57"/>
      <c r="E156" s="57"/>
      <c r="F156" s="122"/>
      <c r="G156" s="121"/>
      <c r="H156" s="122"/>
      <c r="I156" s="121"/>
      <c r="J156" s="122"/>
      <c r="K156" s="8"/>
      <c r="L156" s="8"/>
    </row>
    <row r="157" spans="1:12" s="1" customFormat="1" ht="15">
      <c r="A157" s="8"/>
      <c r="B157" s="57"/>
      <c r="C157" s="121"/>
      <c r="D157" s="57"/>
      <c r="E157" s="57"/>
      <c r="F157" s="122"/>
      <c r="G157" s="121"/>
      <c r="H157" s="122"/>
      <c r="I157" s="121"/>
      <c r="J157" s="122"/>
      <c r="K157" s="8"/>
      <c r="L157" s="8"/>
    </row>
    <row r="158" spans="1:12" s="1" customFormat="1" ht="15">
      <c r="A158" s="8"/>
      <c r="B158" s="57"/>
      <c r="C158" s="121"/>
      <c r="D158" s="57"/>
      <c r="E158" s="57"/>
      <c r="F158" s="122"/>
      <c r="G158" s="121"/>
      <c r="H158" s="122"/>
      <c r="I158" s="121"/>
      <c r="J158" s="122"/>
      <c r="K158" s="8"/>
      <c r="L158" s="8"/>
    </row>
    <row r="159" spans="1:12" s="1" customFormat="1" ht="15">
      <c r="A159" s="8"/>
      <c r="B159" s="57"/>
      <c r="C159" s="121"/>
      <c r="D159" s="57"/>
      <c r="E159" s="57"/>
      <c r="F159" s="122"/>
      <c r="G159" s="121"/>
      <c r="H159" s="122"/>
      <c r="I159" s="121"/>
      <c r="J159" s="122"/>
      <c r="K159" s="8"/>
      <c r="L159" s="8"/>
    </row>
    <row r="160" spans="1:12" s="1" customFormat="1" ht="15">
      <c r="A160" s="8"/>
      <c r="B160" s="57"/>
      <c r="C160" s="121"/>
      <c r="D160" s="57"/>
      <c r="E160" s="57"/>
      <c r="F160" s="122"/>
      <c r="G160" s="121"/>
      <c r="H160" s="122"/>
      <c r="I160" s="121"/>
      <c r="J160" s="122"/>
      <c r="K160" s="8"/>
      <c r="L160" s="8"/>
    </row>
    <row r="161" spans="1:12" s="1" customFormat="1" ht="15">
      <c r="A161" s="8"/>
      <c r="B161" s="57"/>
      <c r="C161" s="121"/>
      <c r="D161" s="57"/>
      <c r="E161" s="57"/>
      <c r="F161" s="122"/>
      <c r="G161" s="121"/>
      <c r="H161" s="122"/>
      <c r="I161" s="121"/>
      <c r="J161" s="122"/>
      <c r="K161" s="8"/>
      <c r="L161" s="8"/>
    </row>
    <row r="162" spans="1:12" s="1" customFormat="1" ht="15">
      <c r="A162" s="8"/>
      <c r="B162" s="57"/>
      <c r="C162" s="121"/>
      <c r="D162" s="57"/>
      <c r="E162" s="57"/>
      <c r="F162" s="122"/>
      <c r="G162" s="121"/>
      <c r="H162" s="122"/>
      <c r="I162" s="121"/>
      <c r="J162" s="122"/>
      <c r="K162" s="8"/>
      <c r="L162" s="8"/>
    </row>
    <row r="163" spans="1:12" s="1" customFormat="1" ht="15">
      <c r="A163" s="8"/>
      <c r="B163" s="57"/>
      <c r="C163" s="121"/>
      <c r="D163" s="57"/>
      <c r="E163" s="57"/>
      <c r="F163" s="122"/>
      <c r="G163" s="121"/>
      <c r="H163" s="122"/>
      <c r="I163" s="121"/>
      <c r="J163" s="122"/>
      <c r="K163" s="8"/>
      <c r="L163" s="8"/>
    </row>
    <row r="164" spans="1:12" s="1" customFormat="1" ht="15">
      <c r="A164" s="8"/>
      <c r="B164" s="57"/>
      <c r="C164" s="121"/>
      <c r="D164" s="57"/>
      <c r="E164" s="57"/>
      <c r="F164" s="122"/>
      <c r="G164" s="121"/>
      <c r="H164" s="122"/>
      <c r="I164" s="121"/>
      <c r="J164" s="122"/>
      <c r="K164" s="8"/>
      <c r="L164" s="8"/>
    </row>
    <row r="165" spans="1:12" s="1" customFormat="1" ht="15">
      <c r="A165" s="8"/>
      <c r="B165" s="57"/>
      <c r="C165" s="121"/>
      <c r="D165" s="57"/>
      <c r="E165" s="57"/>
      <c r="F165" s="122"/>
      <c r="G165" s="121"/>
      <c r="H165" s="122"/>
      <c r="I165" s="121"/>
      <c r="J165" s="122"/>
      <c r="K165" s="8"/>
      <c r="L165" s="8"/>
    </row>
    <row r="166" spans="1:12" s="1" customFormat="1" ht="15">
      <c r="A166" s="8"/>
      <c r="B166" s="57"/>
      <c r="C166" s="121"/>
      <c r="D166" s="57"/>
      <c r="E166" s="57"/>
      <c r="F166" s="122"/>
      <c r="G166" s="121"/>
      <c r="H166" s="122"/>
      <c r="I166" s="121"/>
      <c r="J166" s="122"/>
      <c r="K166" s="8"/>
      <c r="L166" s="8"/>
    </row>
    <row r="167" spans="1:12" s="1" customFormat="1" ht="15">
      <c r="A167" s="8"/>
      <c r="B167" s="57"/>
      <c r="C167" s="121"/>
      <c r="D167" s="57"/>
      <c r="E167" s="57"/>
      <c r="F167" s="122"/>
      <c r="G167" s="121"/>
      <c r="H167" s="122"/>
      <c r="I167" s="121"/>
      <c r="J167" s="122"/>
      <c r="K167" s="8"/>
      <c r="L167" s="8"/>
    </row>
    <row r="168" spans="1:12" s="1" customFormat="1" ht="15">
      <c r="A168" s="8"/>
      <c r="B168" s="57"/>
      <c r="C168" s="121"/>
      <c r="D168" s="57"/>
      <c r="E168" s="57"/>
      <c r="F168" s="122"/>
      <c r="G168" s="121"/>
      <c r="H168" s="122"/>
      <c r="I168" s="121"/>
      <c r="J168" s="122"/>
      <c r="K168" s="8"/>
      <c r="L168" s="8"/>
    </row>
    <row r="169" spans="1:12" s="1" customFormat="1" ht="15">
      <c r="A169" s="8"/>
      <c r="B169" s="57"/>
      <c r="C169" s="121"/>
      <c r="D169" s="57"/>
      <c r="E169" s="57"/>
      <c r="F169" s="122"/>
      <c r="G169" s="121"/>
      <c r="H169" s="122"/>
      <c r="I169" s="121"/>
      <c r="J169" s="122"/>
      <c r="K169" s="8"/>
      <c r="L169" s="8"/>
    </row>
    <row r="170" spans="1:12" s="1" customFormat="1" ht="15">
      <c r="A170" s="8"/>
      <c r="B170" s="57"/>
      <c r="C170" s="121"/>
      <c r="D170" s="57"/>
      <c r="E170" s="57"/>
      <c r="F170" s="122"/>
      <c r="G170" s="121"/>
      <c r="H170" s="122"/>
      <c r="I170" s="121"/>
      <c r="J170" s="122"/>
      <c r="K170" s="8"/>
      <c r="L170" s="8"/>
    </row>
    <row r="171" spans="1:12" s="1" customFormat="1" ht="15">
      <c r="A171" s="8"/>
      <c r="B171" s="57"/>
      <c r="C171" s="121"/>
      <c r="D171" s="57"/>
      <c r="E171" s="57"/>
      <c r="F171" s="122"/>
      <c r="G171" s="121"/>
      <c r="H171" s="122"/>
      <c r="I171" s="121"/>
      <c r="J171" s="122"/>
      <c r="K171" s="8"/>
      <c r="L171" s="8"/>
    </row>
    <row r="172" spans="1:12" s="1" customFormat="1" ht="15">
      <c r="A172" s="8"/>
      <c r="B172" s="57"/>
      <c r="C172" s="121"/>
      <c r="D172" s="57"/>
      <c r="E172" s="57"/>
      <c r="F172" s="122"/>
      <c r="G172" s="121"/>
      <c r="H172" s="122"/>
      <c r="I172" s="121"/>
      <c r="J172" s="122"/>
      <c r="K172" s="8"/>
      <c r="L172" s="8"/>
    </row>
  </sheetData>
  <mergeCells count="4">
    <mergeCell ref="B13:C13"/>
    <mergeCell ref="D13:E13"/>
    <mergeCell ref="F13:G13"/>
    <mergeCell ref="H13:I13"/>
  </mergeCells>
  <printOptions/>
  <pageMargins left="0.5" right="0.5" top="0.75" bottom="0.7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15"/>
  <sheetViews>
    <sheetView tabSelected="1" zoomScale="70" zoomScaleNormal="70" workbookViewId="0" topLeftCell="A1">
      <selection activeCell="B91" sqref="B91"/>
    </sheetView>
  </sheetViews>
  <sheetFormatPr defaultColWidth="9.140625" defaultRowHeight="12.75"/>
  <cols>
    <col min="1" max="1" width="7.57421875" style="350" customWidth="1"/>
    <col min="2" max="2" width="19.8515625" style="350" customWidth="1"/>
    <col min="3" max="14" width="5.140625" style="350" customWidth="1"/>
    <col min="15" max="15" width="9.140625" style="350" customWidth="1"/>
    <col min="16" max="16" width="9.8515625" style="350" customWidth="1"/>
    <col min="17" max="28" width="5.421875" style="350" customWidth="1"/>
    <col min="29" max="29" width="2.421875" style="350" customWidth="1"/>
    <col min="30" max="30" width="9.00390625" style="350" customWidth="1"/>
    <col min="31" max="31" width="7.00390625" style="350" hidden="1" customWidth="1"/>
    <col min="32" max="32" width="8.8515625" style="350" customWidth="1"/>
    <col min="33" max="33" width="11.57421875" style="350" customWidth="1"/>
    <col min="34" max="34" width="10.140625" style="350" customWidth="1"/>
    <col min="35" max="37" width="9.140625" style="350" customWidth="1"/>
    <col min="38" max="38" width="42.7109375" style="350" bestFit="1" customWidth="1"/>
    <col min="39" max="39" width="9.57421875" style="396" bestFit="1" customWidth="1"/>
    <col min="40" max="41" width="9.28125" style="396" bestFit="1" customWidth="1"/>
    <col min="42" max="43" width="9.140625" style="396" customWidth="1"/>
    <col min="44" max="44" width="9.28125" style="396" bestFit="1" customWidth="1"/>
    <col min="45" max="45" width="9.140625" style="396" customWidth="1"/>
    <col min="46" max="46" width="9.28125" style="396" bestFit="1" customWidth="1"/>
    <col min="47" max="50" width="9.140625" style="396" customWidth="1"/>
    <col min="51" max="51" width="9.140625" style="350" customWidth="1"/>
    <col min="52" max="52" width="9.421875" style="391" bestFit="1" customWidth="1"/>
    <col min="53" max="16384" width="9.140625" style="350" customWidth="1"/>
  </cols>
  <sheetData>
    <row r="1" spans="1:14" ht="15" customHeight="1">
      <c r="A1" s="349"/>
      <c r="B1" s="404" t="s">
        <v>245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3" ht="12.75" thickBot="1">
      <c r="B3" s="349" t="s">
        <v>260</v>
      </c>
    </row>
    <row r="4" spans="2:3" ht="12.75" thickBot="1">
      <c r="B4" s="400"/>
      <c r="C4" s="350" t="s">
        <v>261</v>
      </c>
    </row>
    <row r="5" spans="3:52" ht="12">
      <c r="C5" s="409" t="s">
        <v>264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1"/>
      <c r="O5" s="351"/>
      <c r="P5" s="352"/>
      <c r="Q5" s="412" t="s">
        <v>280</v>
      </c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4"/>
      <c r="AC5" s="353"/>
      <c r="AD5" s="354"/>
      <c r="AE5" s="355"/>
      <c r="AF5" s="351"/>
      <c r="AG5" s="356"/>
      <c r="AH5" s="351"/>
      <c r="AY5" s="350">
        <v>14</v>
      </c>
      <c r="AZ5" s="391">
        <v>15</v>
      </c>
    </row>
    <row r="6" spans="1:52" s="386" customFormat="1" ht="24">
      <c r="A6" s="381" t="s">
        <v>262</v>
      </c>
      <c r="B6" s="381" t="s">
        <v>263</v>
      </c>
      <c r="C6" s="382" t="s">
        <v>140</v>
      </c>
      <c r="D6" s="383" t="s">
        <v>243</v>
      </c>
      <c r="E6" s="383" t="s">
        <v>244</v>
      </c>
      <c r="F6" s="382" t="s">
        <v>32</v>
      </c>
      <c r="G6" s="382" t="s">
        <v>35</v>
      </c>
      <c r="H6" s="382" t="s">
        <v>165</v>
      </c>
      <c r="I6" s="382" t="s">
        <v>142</v>
      </c>
      <c r="J6" s="382" t="s">
        <v>43</v>
      </c>
      <c r="K6" s="382" t="s">
        <v>46</v>
      </c>
      <c r="L6" s="382" t="s">
        <v>49</v>
      </c>
      <c r="M6" s="382" t="s">
        <v>52</v>
      </c>
      <c r="N6" s="382" t="s">
        <v>295</v>
      </c>
      <c r="O6" s="381" t="s">
        <v>265</v>
      </c>
      <c r="P6" s="381" t="s">
        <v>279</v>
      </c>
      <c r="Q6" s="382" t="s">
        <v>140</v>
      </c>
      <c r="R6" s="382" t="s">
        <v>141</v>
      </c>
      <c r="S6" s="382" t="s">
        <v>38</v>
      </c>
      <c r="T6" s="382" t="s">
        <v>32</v>
      </c>
      <c r="U6" s="382" t="s">
        <v>35</v>
      </c>
      <c r="V6" s="382" t="s">
        <v>165</v>
      </c>
      <c r="W6" s="382" t="s">
        <v>142</v>
      </c>
      <c r="X6" s="382" t="s">
        <v>43</v>
      </c>
      <c r="Y6" s="382" t="s">
        <v>46</v>
      </c>
      <c r="Z6" s="382" t="s">
        <v>49</v>
      </c>
      <c r="AA6" s="382" t="s">
        <v>52</v>
      </c>
      <c r="AB6" s="382" t="s">
        <v>295</v>
      </c>
      <c r="AC6" s="384"/>
      <c r="AD6" s="385" t="s">
        <v>281</v>
      </c>
      <c r="AE6" s="381" t="s">
        <v>166</v>
      </c>
      <c r="AF6" s="381" t="s">
        <v>266</v>
      </c>
      <c r="AG6" s="381" t="s">
        <v>267</v>
      </c>
      <c r="AH6" s="381" t="s">
        <v>268</v>
      </c>
      <c r="AL6" s="348"/>
      <c r="AM6" s="341" t="s">
        <v>140</v>
      </c>
      <c r="AN6" s="342" t="s">
        <v>243</v>
      </c>
      <c r="AO6" s="342" t="s">
        <v>244</v>
      </c>
      <c r="AP6" s="341" t="s">
        <v>32</v>
      </c>
      <c r="AQ6" s="341" t="s">
        <v>35</v>
      </c>
      <c r="AR6" s="341" t="s">
        <v>165</v>
      </c>
      <c r="AS6" s="341" t="s">
        <v>142</v>
      </c>
      <c r="AT6" s="341" t="s">
        <v>43</v>
      </c>
      <c r="AU6" s="341" t="s">
        <v>46</v>
      </c>
      <c r="AV6" s="341" t="s">
        <v>49</v>
      </c>
      <c r="AW6" s="341" t="s">
        <v>52</v>
      </c>
      <c r="AX6" s="341" t="s">
        <v>295</v>
      </c>
      <c r="AY6" s="340" t="s">
        <v>159</v>
      </c>
      <c r="AZ6" s="392" t="s">
        <v>160</v>
      </c>
    </row>
    <row r="7" spans="1:52" ht="13.5">
      <c r="A7" s="399"/>
      <c r="B7" s="359"/>
      <c r="C7" s="360">
        <f>IF($B7="","",VLOOKUP($B7,$AL$7:$AZ$44,2))</f>
      </c>
      <c r="D7" s="360">
        <f>IF($B7="","",VLOOKUP($B7,$AL$7:$AZ$44,3))</f>
      </c>
      <c r="E7" s="360">
        <f>IF($B7="","",VLOOKUP($B7,$AL$7:$AZ$44,4))</f>
      </c>
      <c r="F7" s="360">
        <f>IF($B7="","",VLOOKUP($B7,$AL$7:$AZ$44,5))</f>
      </c>
      <c r="G7" s="360">
        <f>IF($B7="","",VLOOKUP($B7,$AL$7:$AZ$44,6))</f>
      </c>
      <c r="H7" s="360">
        <f>IF($B7="","",VLOOKUP($B7,$AL$7:$AZ$44,7))</f>
      </c>
      <c r="I7" s="360">
        <f>IF($B7="","",VLOOKUP($B7,$AL$7:$AZ$44,8))</f>
      </c>
      <c r="J7" s="360">
        <f>IF($B7="","",VLOOKUP($B7,$AL$7:$AZ$44,9))</f>
      </c>
      <c r="K7" s="360">
        <f>IF($B7="","",VLOOKUP($B7,$AL$7:$AZ$44,10))</f>
      </c>
      <c r="L7" s="360">
        <f>IF($B7="","",VLOOKUP($B7,$AL$7:$AZ$44,11))</f>
      </c>
      <c r="M7" s="360">
        <f>IF($B7="","",VLOOKUP($B7,$AL$7:$AZ$44,12))</f>
      </c>
      <c r="N7" s="360">
        <f>IF($B7="","",VLOOKUP($B7,$AL$7:$AZ$44,13))</f>
      </c>
      <c r="O7" s="368">
        <f>IF($B7="","",VLOOKUP($B7,$AL$7:$AZ$44,14))</f>
      </c>
      <c r="P7" s="401"/>
      <c r="Q7" s="361">
        <f>IF(P7="","",PRODUCT(P7,(C7/100)))</f>
      </c>
      <c r="R7" s="361">
        <f aca="true" t="shared" si="0" ref="R7:R21">IF(P7="","",PRODUCT(P7,(D7/100))*0.45)</f>
      </c>
      <c r="S7" s="361">
        <f aca="true" t="shared" si="1" ref="S7:S21">IF(P7="","",PRODUCT(P7,(E7/100))*0.83)</f>
      </c>
      <c r="T7" s="361">
        <f aca="true" t="shared" si="2" ref="T7:T21">IF(P7="","",PRODUCT(P7,(F7/100)))</f>
      </c>
      <c r="U7" s="361">
        <f aca="true" t="shared" si="3" ref="U7:U21">IF(P7="","",PRODUCT(P7,(G7/100)))</f>
      </c>
      <c r="V7" s="361">
        <f aca="true" t="shared" si="4" ref="V7:V21">IF(P7="","",PRODUCT(P7,(H7/100)))</f>
      </c>
      <c r="W7" s="361">
        <f aca="true" t="shared" si="5" ref="W7:W21">IF(P7="","",PRODUCT(P7,(I7/100)))</f>
      </c>
      <c r="X7" s="361">
        <f aca="true" t="shared" si="6" ref="X7:X21">IF(P7="","",PRODUCT(P7,(J7/100)))</f>
      </c>
      <c r="Y7" s="361">
        <f aca="true" t="shared" si="7" ref="Y7:Y21">IF(P7="","",PRODUCT(P7,(K7/100)))</f>
      </c>
      <c r="Z7" s="361">
        <f aca="true" t="shared" si="8" ref="Z7:Z21">IF(P7="","",PRODUCT(P7,(L7/100)))</f>
      </c>
      <c r="AA7" s="361">
        <f aca="true" t="shared" si="9" ref="AA7:AA21">IF(P7="","",PRODUCT(P7,(M7/100)))</f>
      </c>
      <c r="AB7" s="361">
        <f aca="true" t="shared" si="10" ref="AB7:AB21">IF(P7="","",PRODUCT(P7,(N7/100)))</f>
      </c>
      <c r="AC7" s="362"/>
      <c r="AD7" s="363">
        <f aca="true" t="shared" si="11" ref="AD7:AD21">$B$4*P7/1000</f>
        <v>0</v>
      </c>
      <c r="AE7" s="364">
        <f>IF(B7="","",AD7/O7)</f>
      </c>
      <c r="AF7" s="365">
        <f>IF(B7="","",ROUNDUP(AE7,0))</f>
      </c>
      <c r="AG7" s="366">
        <f>IF($B7="","",VLOOKUP($B7,$AL$7:$AZ$44,15))</f>
      </c>
      <c r="AH7" s="367">
        <f>IF(B7="","",SUM(AG7*AF7))</f>
      </c>
      <c r="AL7" s="343" t="s">
        <v>246</v>
      </c>
      <c r="AM7" s="346">
        <v>21</v>
      </c>
      <c r="AN7" s="347">
        <v>2</v>
      </c>
      <c r="AO7" s="347">
        <v>21</v>
      </c>
      <c r="AP7" s="347"/>
      <c r="AQ7" s="347"/>
      <c r="AR7" s="347">
        <v>4</v>
      </c>
      <c r="AS7" s="347"/>
      <c r="AT7" s="347"/>
      <c r="AU7" s="347"/>
      <c r="AV7" s="347"/>
      <c r="AW7" s="347"/>
      <c r="AX7" s="347"/>
      <c r="AY7" s="344">
        <v>22.5</v>
      </c>
      <c r="AZ7" s="392">
        <v>5400</v>
      </c>
    </row>
    <row r="8" spans="1:52" ht="13.5">
      <c r="A8" s="399"/>
      <c r="B8" s="359"/>
      <c r="C8" s="360">
        <f aca="true" t="shared" si="12" ref="C8:C21">IF($B8="","",VLOOKUP($B8,$AL$7:$AZ$44,2))</f>
      </c>
      <c r="D8" s="360">
        <f aca="true" t="shared" si="13" ref="D8:D21">IF($B8="","",VLOOKUP($B8,$AL$7:$AZ$44,3))</f>
      </c>
      <c r="E8" s="360">
        <f aca="true" t="shared" si="14" ref="E8:E21">IF($B8="","",VLOOKUP($B8,$AL$7:$AZ$44,4))</f>
      </c>
      <c r="F8" s="360">
        <f aca="true" t="shared" si="15" ref="F8:F21">IF($B8="","",VLOOKUP($B8,$AL$7:$AZ$44,5))</f>
      </c>
      <c r="G8" s="360">
        <f aca="true" t="shared" si="16" ref="G8:G21">IF($B8="","",VLOOKUP($B8,$AL$7:$AZ$44,6))</f>
      </c>
      <c r="H8" s="360">
        <f aca="true" t="shared" si="17" ref="H8:H21">IF($B8="","",VLOOKUP($B8,$AL$7:$AZ$44,7))</f>
      </c>
      <c r="I8" s="360">
        <f aca="true" t="shared" si="18" ref="I8:I21">IF($B8="","",VLOOKUP($B8,$AL$7:$AZ$44,8))</f>
      </c>
      <c r="J8" s="360">
        <f aca="true" t="shared" si="19" ref="J8:J21">IF($B8="","",VLOOKUP($B8,$AL$7:$AZ$44,9))</f>
      </c>
      <c r="K8" s="360">
        <f aca="true" t="shared" si="20" ref="K8:K21">IF($B8="","",VLOOKUP($B8,$AL$7:$AZ$44,10))</f>
      </c>
      <c r="L8" s="360">
        <f aca="true" t="shared" si="21" ref="L8:L21">IF($B8="","",VLOOKUP($B8,$AL$7:$AZ$44,11))</f>
      </c>
      <c r="M8" s="360">
        <f aca="true" t="shared" si="22" ref="M8:M21">IF($B8="","",VLOOKUP($B8,$AL$7:$AZ$44,12))</f>
      </c>
      <c r="N8" s="360">
        <f aca="true" t="shared" si="23" ref="N8:N21">IF($B8="","",VLOOKUP($B8,$AL$7:$AZ$44,13))</f>
      </c>
      <c r="O8" s="368">
        <f aca="true" t="shared" si="24" ref="O8:O21">IF($B8="","",VLOOKUP($B8,$AL$7:$AZ$44,14))</f>
      </c>
      <c r="P8" s="402"/>
      <c r="Q8" s="361">
        <f aca="true" t="shared" si="25" ref="Q8:Q21">IF(P8="","",PRODUCT(P8,(C8/100)))</f>
      </c>
      <c r="R8" s="361">
        <f t="shared" si="0"/>
      </c>
      <c r="S8" s="361">
        <f t="shared" si="1"/>
      </c>
      <c r="T8" s="361">
        <f t="shared" si="2"/>
      </c>
      <c r="U8" s="361">
        <f t="shared" si="3"/>
      </c>
      <c r="V8" s="361">
        <f t="shared" si="4"/>
      </c>
      <c r="W8" s="361">
        <f t="shared" si="5"/>
      </c>
      <c r="X8" s="361">
        <f t="shared" si="6"/>
      </c>
      <c r="Y8" s="361">
        <f t="shared" si="7"/>
      </c>
      <c r="Z8" s="361">
        <f t="shared" si="8"/>
      </c>
      <c r="AA8" s="361">
        <f t="shared" si="9"/>
      </c>
      <c r="AB8" s="361">
        <f t="shared" si="10"/>
      </c>
      <c r="AC8" s="362"/>
      <c r="AD8" s="363">
        <f t="shared" si="11"/>
        <v>0</v>
      </c>
      <c r="AE8" s="364">
        <f aca="true" t="shared" si="26" ref="AE8:AE21">IF(B8="","",AD8/O8)</f>
      </c>
      <c r="AF8" s="365">
        <f aca="true" t="shared" si="27" ref="AF8:AF21">IF(B8="","",ROUNDUP(AE8,0))</f>
      </c>
      <c r="AG8" s="366">
        <f aca="true" t="shared" si="28" ref="AG8:AG20">IF($B8="","",VLOOKUP($B8,$AL$7:$AZ$44,15))</f>
      </c>
      <c r="AH8" s="367">
        <f aca="true" t="shared" si="29" ref="AH8:AH21">IF(B8="","",SUM(AG8*AF8))</f>
      </c>
      <c r="AL8" s="343" t="s">
        <v>258</v>
      </c>
      <c r="AM8" s="346">
        <v>10</v>
      </c>
      <c r="AN8" s="347">
        <v>21</v>
      </c>
      <c r="AO8" s="347">
        <v>21</v>
      </c>
      <c r="AP8" s="347"/>
      <c r="AQ8" s="347"/>
      <c r="AR8" s="347">
        <v>7.14</v>
      </c>
      <c r="AS8" s="347"/>
      <c r="AT8" s="347">
        <v>1.44</v>
      </c>
      <c r="AU8" s="347"/>
      <c r="AV8" s="347"/>
      <c r="AW8" s="347"/>
      <c r="AX8" s="347"/>
      <c r="AY8" s="344">
        <v>22.5</v>
      </c>
      <c r="AZ8" s="392">
        <v>8500</v>
      </c>
    </row>
    <row r="9" spans="1:52" ht="13.5">
      <c r="A9" s="399"/>
      <c r="B9" s="359"/>
      <c r="C9" s="360">
        <f t="shared" si="12"/>
      </c>
      <c r="D9" s="360">
        <f t="shared" si="13"/>
      </c>
      <c r="E9" s="360">
        <f t="shared" si="14"/>
      </c>
      <c r="F9" s="360">
        <f t="shared" si="15"/>
      </c>
      <c r="G9" s="360">
        <f t="shared" si="16"/>
      </c>
      <c r="H9" s="360">
        <f t="shared" si="17"/>
      </c>
      <c r="I9" s="360">
        <f t="shared" si="18"/>
      </c>
      <c r="J9" s="360">
        <f t="shared" si="19"/>
      </c>
      <c r="K9" s="360">
        <f t="shared" si="20"/>
      </c>
      <c r="L9" s="360">
        <f t="shared" si="21"/>
      </c>
      <c r="M9" s="360">
        <f t="shared" si="22"/>
      </c>
      <c r="N9" s="360">
        <f t="shared" si="23"/>
      </c>
      <c r="O9" s="368">
        <f t="shared" si="24"/>
      </c>
      <c r="P9" s="402"/>
      <c r="Q9" s="361">
        <f t="shared" si="25"/>
      </c>
      <c r="R9" s="361">
        <f t="shared" si="0"/>
      </c>
      <c r="S9" s="361">
        <f t="shared" si="1"/>
      </c>
      <c r="T9" s="361">
        <f t="shared" si="2"/>
      </c>
      <c r="U9" s="361">
        <f t="shared" si="3"/>
      </c>
      <c r="V9" s="361">
        <f t="shared" si="4"/>
      </c>
      <c r="W9" s="361">
        <f t="shared" si="5"/>
      </c>
      <c r="X9" s="361">
        <f t="shared" si="6"/>
      </c>
      <c r="Y9" s="361">
        <f t="shared" si="7"/>
      </c>
      <c r="Z9" s="361">
        <f t="shared" si="8"/>
      </c>
      <c r="AA9" s="361">
        <f t="shared" si="9"/>
      </c>
      <c r="AB9" s="361">
        <f t="shared" si="10"/>
      </c>
      <c r="AC9" s="362"/>
      <c r="AD9" s="363">
        <f t="shared" si="11"/>
        <v>0</v>
      </c>
      <c r="AE9" s="364">
        <f t="shared" si="26"/>
      </c>
      <c r="AF9" s="365">
        <f t="shared" si="27"/>
      </c>
      <c r="AG9" s="366">
        <f t="shared" si="28"/>
      </c>
      <c r="AH9" s="367">
        <f t="shared" si="29"/>
      </c>
      <c r="AL9" s="343" t="s">
        <v>257</v>
      </c>
      <c r="AM9" s="346">
        <v>17</v>
      </c>
      <c r="AN9" s="347">
        <v>3</v>
      </c>
      <c r="AO9" s="347">
        <v>19</v>
      </c>
      <c r="AP9" s="347"/>
      <c r="AQ9" s="347">
        <v>0.56</v>
      </c>
      <c r="AR9" s="347">
        <v>10.7</v>
      </c>
      <c r="AS9" s="347"/>
      <c r="AT9" s="347">
        <v>1</v>
      </c>
      <c r="AU9" s="347"/>
      <c r="AV9" s="347"/>
      <c r="AW9" s="347"/>
      <c r="AX9" s="347"/>
      <c r="AY9" s="344">
        <v>22.5</v>
      </c>
      <c r="AZ9" s="392">
        <v>7400</v>
      </c>
    </row>
    <row r="10" spans="1:52" ht="13.5">
      <c r="A10" s="399"/>
      <c r="B10" s="359"/>
      <c r="C10" s="360">
        <f t="shared" si="12"/>
      </c>
      <c r="D10" s="360">
        <f t="shared" si="13"/>
      </c>
      <c r="E10" s="360">
        <f t="shared" si="14"/>
      </c>
      <c r="F10" s="360">
        <f t="shared" si="15"/>
      </c>
      <c r="G10" s="360">
        <f t="shared" si="16"/>
      </c>
      <c r="H10" s="360">
        <f t="shared" si="17"/>
      </c>
      <c r="I10" s="360">
        <f t="shared" si="18"/>
      </c>
      <c r="J10" s="360">
        <f t="shared" si="19"/>
      </c>
      <c r="K10" s="360">
        <f t="shared" si="20"/>
      </c>
      <c r="L10" s="360">
        <f t="shared" si="21"/>
      </c>
      <c r="M10" s="360">
        <f t="shared" si="22"/>
      </c>
      <c r="N10" s="360">
        <f t="shared" si="23"/>
      </c>
      <c r="O10" s="368">
        <f t="shared" si="24"/>
      </c>
      <c r="P10" s="402"/>
      <c r="Q10" s="361">
        <f t="shared" si="25"/>
      </c>
      <c r="R10" s="361">
        <f t="shared" si="0"/>
      </c>
      <c r="S10" s="361">
        <f t="shared" si="1"/>
      </c>
      <c r="T10" s="361">
        <f t="shared" si="2"/>
      </c>
      <c r="U10" s="361">
        <f t="shared" si="3"/>
      </c>
      <c r="V10" s="361">
        <f t="shared" si="4"/>
      </c>
      <c r="W10" s="361">
        <f t="shared" si="5"/>
      </c>
      <c r="X10" s="361">
        <f t="shared" si="6"/>
      </c>
      <c r="Y10" s="361">
        <f t="shared" si="7"/>
      </c>
      <c r="Z10" s="361">
        <f t="shared" si="8"/>
      </c>
      <c r="AA10" s="361">
        <f t="shared" si="9"/>
      </c>
      <c r="AB10" s="361">
        <f t="shared" si="10"/>
      </c>
      <c r="AC10" s="362"/>
      <c r="AD10" s="363">
        <f t="shared" si="11"/>
        <v>0</v>
      </c>
      <c r="AE10" s="364">
        <f t="shared" si="26"/>
      </c>
      <c r="AF10" s="365">
        <f t="shared" si="27"/>
      </c>
      <c r="AG10" s="366">
        <f t="shared" si="28"/>
      </c>
      <c r="AH10" s="367">
        <f t="shared" si="29"/>
      </c>
      <c r="AL10" s="343" t="s">
        <v>256</v>
      </c>
      <c r="AM10" s="346">
        <v>18</v>
      </c>
      <c r="AN10" s="347">
        <v>2</v>
      </c>
      <c r="AO10" s="347">
        <v>24</v>
      </c>
      <c r="AP10" s="347"/>
      <c r="AQ10" s="347"/>
      <c r="AR10" s="347">
        <v>8.16</v>
      </c>
      <c r="AS10" s="347"/>
      <c r="AT10" s="347">
        <v>0.5</v>
      </c>
      <c r="AU10" s="347">
        <v>0.25</v>
      </c>
      <c r="AV10" s="347">
        <v>0.25</v>
      </c>
      <c r="AW10" s="347">
        <v>0.25</v>
      </c>
      <c r="AX10" s="347"/>
      <c r="AY10" s="344">
        <v>22.5</v>
      </c>
      <c r="AZ10" s="392">
        <v>7900</v>
      </c>
    </row>
    <row r="11" spans="1:52" ht="13.5">
      <c r="A11" s="399"/>
      <c r="B11" s="359"/>
      <c r="C11" s="360">
        <f t="shared" si="12"/>
      </c>
      <c r="D11" s="360">
        <f t="shared" si="13"/>
      </c>
      <c r="E11" s="360">
        <f t="shared" si="14"/>
      </c>
      <c r="F11" s="360">
        <f t="shared" si="15"/>
      </c>
      <c r="G11" s="360">
        <f t="shared" si="16"/>
      </c>
      <c r="H11" s="360">
        <f t="shared" si="17"/>
      </c>
      <c r="I11" s="360">
        <f t="shared" si="18"/>
      </c>
      <c r="J11" s="360">
        <f t="shared" si="19"/>
      </c>
      <c r="K11" s="360">
        <f t="shared" si="20"/>
      </c>
      <c r="L11" s="360">
        <f t="shared" si="21"/>
      </c>
      <c r="M11" s="360">
        <f t="shared" si="22"/>
      </c>
      <c r="N11" s="360">
        <f t="shared" si="23"/>
      </c>
      <c r="O11" s="368">
        <f t="shared" si="24"/>
      </c>
      <c r="P11" s="402"/>
      <c r="Q11" s="361">
        <f t="shared" si="25"/>
      </c>
      <c r="R11" s="361">
        <f t="shared" si="0"/>
      </c>
      <c r="S11" s="361">
        <f t="shared" si="1"/>
      </c>
      <c r="T11" s="361">
        <f t="shared" si="2"/>
      </c>
      <c r="U11" s="361">
        <f t="shared" si="3"/>
      </c>
      <c r="V11" s="361">
        <f t="shared" si="4"/>
      </c>
      <c r="W11" s="361">
        <f t="shared" si="5"/>
      </c>
      <c r="X11" s="361">
        <f t="shared" si="6"/>
      </c>
      <c r="Y11" s="361">
        <f t="shared" si="7"/>
      </c>
      <c r="Z11" s="361">
        <f t="shared" si="8"/>
      </c>
      <c r="AA11" s="361">
        <f t="shared" si="9"/>
      </c>
      <c r="AB11" s="361">
        <f t="shared" si="10"/>
      </c>
      <c r="AC11" s="362"/>
      <c r="AD11" s="363">
        <f t="shared" si="11"/>
        <v>0</v>
      </c>
      <c r="AE11" s="364">
        <f t="shared" si="26"/>
      </c>
      <c r="AF11" s="365">
        <f t="shared" si="27"/>
      </c>
      <c r="AG11" s="366">
        <f t="shared" si="28"/>
      </c>
      <c r="AH11" s="367">
        <f t="shared" si="29"/>
      </c>
      <c r="AL11" s="343" t="s">
        <v>255</v>
      </c>
      <c r="AM11" s="345">
        <v>20</v>
      </c>
      <c r="AN11" s="347">
        <v>3</v>
      </c>
      <c r="AO11" s="347">
        <v>20</v>
      </c>
      <c r="AP11" s="347"/>
      <c r="AQ11" s="347"/>
      <c r="AR11" s="347">
        <v>6.8</v>
      </c>
      <c r="AS11" s="347"/>
      <c r="AT11" s="347">
        <v>0.57</v>
      </c>
      <c r="AU11" s="347">
        <v>0.29</v>
      </c>
      <c r="AV11" s="347"/>
      <c r="AW11" s="347">
        <v>0.29</v>
      </c>
      <c r="AX11" s="347"/>
      <c r="AY11" s="344">
        <v>22.5</v>
      </c>
      <c r="AZ11" s="392">
        <v>8400</v>
      </c>
    </row>
    <row r="12" spans="1:52" ht="13.5">
      <c r="A12" s="399"/>
      <c r="B12" s="359"/>
      <c r="C12" s="360">
        <f t="shared" si="12"/>
      </c>
      <c r="D12" s="360">
        <f t="shared" si="13"/>
      </c>
      <c r="E12" s="360">
        <f t="shared" si="14"/>
      </c>
      <c r="F12" s="360">
        <f t="shared" si="15"/>
      </c>
      <c r="G12" s="360">
        <f t="shared" si="16"/>
      </c>
      <c r="H12" s="360">
        <f t="shared" si="17"/>
      </c>
      <c r="I12" s="360">
        <f t="shared" si="18"/>
      </c>
      <c r="J12" s="360">
        <f t="shared" si="19"/>
      </c>
      <c r="K12" s="360">
        <f t="shared" si="20"/>
      </c>
      <c r="L12" s="360">
        <f t="shared" si="21"/>
      </c>
      <c r="M12" s="360">
        <f t="shared" si="22"/>
      </c>
      <c r="N12" s="360">
        <f t="shared" si="23"/>
      </c>
      <c r="O12" s="368">
        <f t="shared" si="24"/>
      </c>
      <c r="P12" s="402"/>
      <c r="Q12" s="361">
        <f t="shared" si="25"/>
      </c>
      <c r="R12" s="361">
        <f t="shared" si="0"/>
      </c>
      <c r="S12" s="361">
        <f t="shared" si="1"/>
      </c>
      <c r="T12" s="361">
        <f t="shared" si="2"/>
      </c>
      <c r="U12" s="361">
        <f t="shared" si="3"/>
      </c>
      <c r="V12" s="361">
        <f t="shared" si="4"/>
      </c>
      <c r="W12" s="361">
        <f t="shared" si="5"/>
      </c>
      <c r="X12" s="361">
        <f t="shared" si="6"/>
      </c>
      <c r="Y12" s="361">
        <f t="shared" si="7"/>
      </c>
      <c r="Z12" s="361">
        <f t="shared" si="8"/>
      </c>
      <c r="AA12" s="361">
        <f t="shared" si="9"/>
      </c>
      <c r="AB12" s="361">
        <f t="shared" si="10"/>
      </c>
      <c r="AC12" s="362"/>
      <c r="AD12" s="363">
        <f t="shared" si="11"/>
        <v>0</v>
      </c>
      <c r="AE12" s="364">
        <f t="shared" si="26"/>
      </c>
      <c r="AF12" s="365">
        <f t="shared" si="27"/>
      </c>
      <c r="AG12" s="366">
        <f t="shared" si="28"/>
      </c>
      <c r="AH12" s="367">
        <f t="shared" si="29"/>
      </c>
      <c r="AL12" s="343" t="s">
        <v>247</v>
      </c>
      <c r="AM12" s="346">
        <v>22</v>
      </c>
      <c r="AN12" s="347">
        <v>2</v>
      </c>
      <c r="AO12" s="347">
        <v>22</v>
      </c>
      <c r="AP12" s="347"/>
      <c r="AQ12" s="347"/>
      <c r="AR12" s="347">
        <v>14</v>
      </c>
      <c r="AS12" s="347"/>
      <c r="AT12" s="347"/>
      <c r="AU12" s="347"/>
      <c r="AV12" s="347"/>
      <c r="AW12" s="347"/>
      <c r="AX12" s="347"/>
      <c r="AY12" s="344">
        <v>22.5</v>
      </c>
      <c r="AZ12" s="392">
        <v>5500</v>
      </c>
    </row>
    <row r="13" spans="1:52" ht="13.5">
      <c r="A13" s="399"/>
      <c r="B13" s="359"/>
      <c r="C13" s="360">
        <f t="shared" si="12"/>
      </c>
      <c r="D13" s="360">
        <f t="shared" si="13"/>
      </c>
      <c r="E13" s="360">
        <f t="shared" si="14"/>
      </c>
      <c r="F13" s="360">
        <f t="shared" si="15"/>
      </c>
      <c r="G13" s="360">
        <f t="shared" si="16"/>
      </c>
      <c r="H13" s="360">
        <f t="shared" si="17"/>
      </c>
      <c r="I13" s="360">
        <f t="shared" si="18"/>
      </c>
      <c r="J13" s="360">
        <f t="shared" si="19"/>
      </c>
      <c r="K13" s="360">
        <f t="shared" si="20"/>
      </c>
      <c r="L13" s="360">
        <f t="shared" si="21"/>
      </c>
      <c r="M13" s="360">
        <f t="shared" si="22"/>
      </c>
      <c r="N13" s="360">
        <f t="shared" si="23"/>
      </c>
      <c r="O13" s="368">
        <f t="shared" si="24"/>
      </c>
      <c r="P13" s="402"/>
      <c r="Q13" s="361">
        <f t="shared" si="25"/>
      </c>
      <c r="R13" s="361">
        <f t="shared" si="0"/>
      </c>
      <c r="S13" s="361">
        <f t="shared" si="1"/>
      </c>
      <c r="T13" s="361">
        <f t="shared" si="2"/>
      </c>
      <c r="U13" s="361">
        <f t="shared" si="3"/>
      </c>
      <c r="V13" s="361">
        <f t="shared" si="4"/>
      </c>
      <c r="W13" s="361">
        <f t="shared" si="5"/>
      </c>
      <c r="X13" s="361">
        <f t="shared" si="6"/>
      </c>
      <c r="Y13" s="361">
        <f t="shared" si="7"/>
      </c>
      <c r="Z13" s="361">
        <f t="shared" si="8"/>
      </c>
      <c r="AA13" s="361">
        <f t="shared" si="9"/>
      </c>
      <c r="AB13" s="361">
        <f t="shared" si="10"/>
      </c>
      <c r="AC13" s="362"/>
      <c r="AD13" s="363">
        <f t="shared" si="11"/>
        <v>0</v>
      </c>
      <c r="AE13" s="364">
        <f t="shared" si="26"/>
      </c>
      <c r="AF13" s="365">
        <f t="shared" si="27"/>
      </c>
      <c r="AG13" s="366">
        <f t="shared" si="28"/>
      </c>
      <c r="AH13" s="367">
        <f t="shared" si="29"/>
      </c>
      <c r="AL13" s="343" t="s">
        <v>284</v>
      </c>
      <c r="AM13" s="398">
        <v>10</v>
      </c>
      <c r="AN13" s="398">
        <v>0</v>
      </c>
      <c r="AO13" s="398">
        <v>0</v>
      </c>
      <c r="AP13" s="398"/>
      <c r="AQ13" s="398">
        <v>1</v>
      </c>
      <c r="AR13" s="398"/>
      <c r="AS13" s="398"/>
      <c r="AT13" s="398">
        <v>10</v>
      </c>
      <c r="AU13" s="398"/>
      <c r="AV13" s="398"/>
      <c r="AW13" s="398"/>
      <c r="AX13" s="398"/>
      <c r="AY13" s="394">
        <v>20</v>
      </c>
      <c r="AZ13" s="395">
        <v>21000</v>
      </c>
    </row>
    <row r="14" spans="1:52" ht="13.5">
      <c r="A14" s="399"/>
      <c r="B14" s="359"/>
      <c r="C14" s="360">
        <f t="shared" si="12"/>
      </c>
      <c r="D14" s="360">
        <f t="shared" si="13"/>
      </c>
      <c r="E14" s="360">
        <f t="shared" si="14"/>
      </c>
      <c r="F14" s="360">
        <f t="shared" si="15"/>
      </c>
      <c r="G14" s="360">
        <f t="shared" si="16"/>
      </c>
      <c r="H14" s="360">
        <f t="shared" si="17"/>
      </c>
      <c r="I14" s="360">
        <f t="shared" si="18"/>
      </c>
      <c r="J14" s="360">
        <f t="shared" si="19"/>
      </c>
      <c r="K14" s="360">
        <f t="shared" si="20"/>
      </c>
      <c r="L14" s="360">
        <f t="shared" si="21"/>
      </c>
      <c r="M14" s="360">
        <f t="shared" si="22"/>
      </c>
      <c r="N14" s="360">
        <f t="shared" si="23"/>
      </c>
      <c r="O14" s="368">
        <f t="shared" si="24"/>
      </c>
      <c r="P14" s="402"/>
      <c r="Q14" s="361">
        <f t="shared" si="25"/>
      </c>
      <c r="R14" s="361">
        <f t="shared" si="0"/>
      </c>
      <c r="S14" s="361">
        <f t="shared" si="1"/>
      </c>
      <c r="T14" s="361">
        <f t="shared" si="2"/>
      </c>
      <c r="U14" s="361">
        <f t="shared" si="3"/>
      </c>
      <c r="V14" s="361">
        <f t="shared" si="4"/>
      </c>
      <c r="W14" s="361">
        <f t="shared" si="5"/>
      </c>
      <c r="X14" s="361">
        <f t="shared" si="6"/>
      </c>
      <c r="Y14" s="361">
        <f t="shared" si="7"/>
      </c>
      <c r="Z14" s="361">
        <f t="shared" si="8"/>
      </c>
      <c r="AA14" s="361">
        <f t="shared" si="9"/>
      </c>
      <c r="AB14" s="361">
        <f t="shared" si="10"/>
      </c>
      <c r="AC14" s="362"/>
      <c r="AD14" s="363">
        <f t="shared" si="11"/>
        <v>0</v>
      </c>
      <c r="AE14" s="364">
        <f t="shared" si="26"/>
      </c>
      <c r="AF14" s="365">
        <f t="shared" si="27"/>
      </c>
      <c r="AG14" s="366">
        <f t="shared" si="28"/>
      </c>
      <c r="AH14" s="367">
        <f t="shared" si="29"/>
      </c>
      <c r="AL14" s="343" t="s">
        <v>286</v>
      </c>
      <c r="AM14" s="398">
        <v>0</v>
      </c>
      <c r="AN14" s="398">
        <v>0</v>
      </c>
      <c r="AO14" s="398">
        <v>0</v>
      </c>
      <c r="AP14" s="398"/>
      <c r="AQ14" s="398"/>
      <c r="AR14" s="398"/>
      <c r="AS14" s="398"/>
      <c r="AT14" s="398"/>
      <c r="AU14" s="398"/>
      <c r="AV14" s="398"/>
      <c r="AW14" s="398"/>
      <c r="AX14" s="398"/>
      <c r="AY14" s="394">
        <v>20</v>
      </c>
      <c r="AZ14" s="395">
        <v>21000</v>
      </c>
    </row>
    <row r="15" spans="1:52" ht="13.5">
      <c r="A15" s="399"/>
      <c r="B15" s="359"/>
      <c r="C15" s="360">
        <f t="shared" si="12"/>
      </c>
      <c r="D15" s="360">
        <f t="shared" si="13"/>
      </c>
      <c r="E15" s="360">
        <f t="shared" si="14"/>
      </c>
      <c r="F15" s="360">
        <f t="shared" si="15"/>
      </c>
      <c r="G15" s="360">
        <f t="shared" si="16"/>
      </c>
      <c r="H15" s="360">
        <f t="shared" si="17"/>
      </c>
      <c r="I15" s="360">
        <f t="shared" si="18"/>
      </c>
      <c r="J15" s="360">
        <f t="shared" si="19"/>
      </c>
      <c r="K15" s="360">
        <f t="shared" si="20"/>
      </c>
      <c r="L15" s="360">
        <f t="shared" si="21"/>
      </c>
      <c r="M15" s="360">
        <f t="shared" si="22"/>
      </c>
      <c r="N15" s="360">
        <f t="shared" si="23"/>
      </c>
      <c r="O15" s="368">
        <f t="shared" si="24"/>
      </c>
      <c r="P15" s="402"/>
      <c r="Q15" s="361">
        <f t="shared" si="25"/>
      </c>
      <c r="R15" s="361">
        <f t="shared" si="0"/>
      </c>
      <c r="S15" s="361">
        <f t="shared" si="1"/>
      </c>
      <c r="T15" s="361">
        <f t="shared" si="2"/>
      </c>
      <c r="U15" s="361">
        <f t="shared" si="3"/>
      </c>
      <c r="V15" s="361">
        <f t="shared" si="4"/>
      </c>
      <c r="W15" s="361">
        <f t="shared" si="5"/>
      </c>
      <c r="X15" s="361">
        <f t="shared" si="6"/>
      </c>
      <c r="Y15" s="361">
        <f t="shared" si="7"/>
      </c>
      <c r="Z15" s="361">
        <f t="shared" si="8"/>
      </c>
      <c r="AA15" s="361">
        <f t="shared" si="9"/>
      </c>
      <c r="AB15" s="361">
        <f t="shared" si="10"/>
      </c>
      <c r="AC15" s="362"/>
      <c r="AD15" s="363">
        <f t="shared" si="11"/>
        <v>0</v>
      </c>
      <c r="AE15" s="364">
        <f t="shared" si="26"/>
      </c>
      <c r="AF15" s="365">
        <f t="shared" si="27"/>
      </c>
      <c r="AG15" s="366">
        <f t="shared" si="28"/>
      </c>
      <c r="AH15" s="367">
        <f t="shared" si="29"/>
      </c>
      <c r="AL15" s="343" t="s">
        <v>282</v>
      </c>
      <c r="AM15" s="397">
        <v>0</v>
      </c>
      <c r="AN15" s="398">
        <v>0</v>
      </c>
      <c r="AO15" s="398">
        <v>0</v>
      </c>
      <c r="AP15" s="398"/>
      <c r="AQ15" s="398"/>
      <c r="AR15" s="398"/>
      <c r="AS15" s="398"/>
      <c r="AT15" s="398">
        <v>7</v>
      </c>
      <c r="AU15" s="398"/>
      <c r="AV15" s="398"/>
      <c r="AW15" s="398"/>
      <c r="AX15" s="398"/>
      <c r="AY15" s="394">
        <v>20</v>
      </c>
      <c r="AZ15" s="395">
        <v>24000</v>
      </c>
    </row>
    <row r="16" spans="1:52" ht="13.5">
      <c r="A16" s="399"/>
      <c r="B16" s="359"/>
      <c r="C16" s="360">
        <f t="shared" si="12"/>
      </c>
      <c r="D16" s="360">
        <f t="shared" si="13"/>
      </c>
      <c r="E16" s="360">
        <f t="shared" si="14"/>
      </c>
      <c r="F16" s="360">
        <f t="shared" si="15"/>
      </c>
      <c r="G16" s="360">
        <f t="shared" si="16"/>
      </c>
      <c r="H16" s="360">
        <f t="shared" si="17"/>
      </c>
      <c r="I16" s="360">
        <f t="shared" si="18"/>
      </c>
      <c r="J16" s="360">
        <f t="shared" si="19"/>
      </c>
      <c r="K16" s="360">
        <f t="shared" si="20"/>
      </c>
      <c r="L16" s="360">
        <f t="shared" si="21"/>
      </c>
      <c r="M16" s="360">
        <f t="shared" si="22"/>
      </c>
      <c r="N16" s="360">
        <f t="shared" si="23"/>
      </c>
      <c r="O16" s="368">
        <f t="shared" si="24"/>
      </c>
      <c r="P16" s="402"/>
      <c r="Q16" s="361">
        <f t="shared" si="25"/>
      </c>
      <c r="R16" s="361">
        <f t="shared" si="0"/>
      </c>
      <c r="S16" s="361">
        <f t="shared" si="1"/>
      </c>
      <c r="T16" s="361">
        <f t="shared" si="2"/>
      </c>
      <c r="U16" s="361">
        <f t="shared" si="3"/>
      </c>
      <c r="V16" s="361">
        <f t="shared" si="4"/>
      </c>
      <c r="W16" s="361">
        <f t="shared" si="5"/>
      </c>
      <c r="X16" s="361">
        <f t="shared" si="6"/>
      </c>
      <c r="Y16" s="361">
        <f t="shared" si="7"/>
      </c>
      <c r="Z16" s="361">
        <f t="shared" si="8"/>
      </c>
      <c r="AA16" s="361">
        <f t="shared" si="9"/>
      </c>
      <c r="AB16" s="361">
        <f t="shared" si="10"/>
      </c>
      <c r="AC16" s="362"/>
      <c r="AD16" s="363">
        <f t="shared" si="11"/>
        <v>0</v>
      </c>
      <c r="AE16" s="364">
        <f t="shared" si="26"/>
      </c>
      <c r="AF16" s="365">
        <f t="shared" si="27"/>
      </c>
      <c r="AG16" s="366">
        <f t="shared" si="28"/>
      </c>
      <c r="AH16" s="367">
        <f t="shared" si="29"/>
      </c>
      <c r="AL16" s="343" t="s">
        <v>283</v>
      </c>
      <c r="AM16" s="397">
        <v>7</v>
      </c>
      <c r="AN16" s="398">
        <v>0</v>
      </c>
      <c r="AO16" s="398">
        <v>0</v>
      </c>
      <c r="AP16" s="398"/>
      <c r="AQ16" s="398">
        <v>5</v>
      </c>
      <c r="AR16" s="398"/>
      <c r="AS16" s="398"/>
      <c r="AT16" s="398"/>
      <c r="AU16" s="398"/>
      <c r="AV16" s="398"/>
      <c r="AW16" s="398"/>
      <c r="AX16" s="398"/>
      <c r="AY16" s="394">
        <v>20</v>
      </c>
      <c r="AZ16" s="395">
        <v>24000</v>
      </c>
    </row>
    <row r="17" spans="1:52" ht="13.5">
      <c r="A17" s="399"/>
      <c r="B17" s="359"/>
      <c r="C17" s="360">
        <f t="shared" si="12"/>
      </c>
      <c r="D17" s="360">
        <f t="shared" si="13"/>
      </c>
      <c r="E17" s="360">
        <f t="shared" si="14"/>
      </c>
      <c r="F17" s="360">
        <f t="shared" si="15"/>
      </c>
      <c r="G17" s="360">
        <f t="shared" si="16"/>
      </c>
      <c r="H17" s="360">
        <f t="shared" si="17"/>
      </c>
      <c r="I17" s="360">
        <f t="shared" si="18"/>
      </c>
      <c r="J17" s="360">
        <f t="shared" si="19"/>
      </c>
      <c r="K17" s="360">
        <f t="shared" si="20"/>
      </c>
      <c r="L17" s="360">
        <f t="shared" si="21"/>
      </c>
      <c r="M17" s="360">
        <f t="shared" si="22"/>
      </c>
      <c r="N17" s="360">
        <f t="shared" si="23"/>
      </c>
      <c r="O17" s="368">
        <f t="shared" si="24"/>
      </c>
      <c r="P17" s="402"/>
      <c r="Q17" s="361">
        <f t="shared" si="25"/>
      </c>
      <c r="R17" s="361">
        <f t="shared" si="0"/>
      </c>
      <c r="S17" s="361">
        <f t="shared" si="1"/>
      </c>
      <c r="T17" s="361">
        <f t="shared" si="2"/>
      </c>
      <c r="U17" s="361">
        <f t="shared" si="3"/>
      </c>
      <c r="V17" s="361">
        <f t="shared" si="4"/>
      </c>
      <c r="W17" s="361">
        <f t="shared" si="5"/>
      </c>
      <c r="X17" s="361">
        <f t="shared" si="6"/>
      </c>
      <c r="Y17" s="361">
        <f t="shared" si="7"/>
      </c>
      <c r="Z17" s="361">
        <f t="shared" si="8"/>
      </c>
      <c r="AA17" s="361">
        <f t="shared" si="9"/>
      </c>
      <c r="AB17" s="361">
        <f t="shared" si="10"/>
      </c>
      <c r="AC17" s="362"/>
      <c r="AD17" s="363">
        <f t="shared" si="11"/>
        <v>0</v>
      </c>
      <c r="AE17" s="364">
        <f t="shared" si="26"/>
      </c>
      <c r="AF17" s="365">
        <f t="shared" si="27"/>
      </c>
      <c r="AG17" s="366">
        <f t="shared" si="28"/>
      </c>
      <c r="AH17" s="367">
        <f t="shared" si="29"/>
      </c>
      <c r="AL17" s="343" t="s">
        <v>287</v>
      </c>
      <c r="AM17" s="398">
        <v>0</v>
      </c>
      <c r="AN17" s="398">
        <v>45</v>
      </c>
      <c r="AO17" s="398">
        <v>36</v>
      </c>
      <c r="AP17" s="398"/>
      <c r="AQ17" s="398"/>
      <c r="AR17" s="398"/>
      <c r="AS17" s="398"/>
      <c r="AT17" s="398"/>
      <c r="AU17" s="398"/>
      <c r="AV17" s="398"/>
      <c r="AW17" s="398"/>
      <c r="AX17" s="398"/>
      <c r="AY17" s="394">
        <v>20</v>
      </c>
      <c r="AZ17" s="395">
        <v>40000</v>
      </c>
    </row>
    <row r="18" spans="1:52" ht="13.5">
      <c r="A18" s="399"/>
      <c r="B18" s="359"/>
      <c r="C18" s="360">
        <f t="shared" si="12"/>
      </c>
      <c r="D18" s="360">
        <f t="shared" si="13"/>
      </c>
      <c r="E18" s="360">
        <f t="shared" si="14"/>
      </c>
      <c r="F18" s="360">
        <f t="shared" si="15"/>
      </c>
      <c r="G18" s="360">
        <f t="shared" si="16"/>
      </c>
      <c r="H18" s="360">
        <f t="shared" si="17"/>
      </c>
      <c r="I18" s="360">
        <f t="shared" si="18"/>
      </c>
      <c r="J18" s="360">
        <f t="shared" si="19"/>
      </c>
      <c r="K18" s="360">
        <f t="shared" si="20"/>
      </c>
      <c r="L18" s="360">
        <f t="shared" si="21"/>
      </c>
      <c r="M18" s="360">
        <f t="shared" si="22"/>
      </c>
      <c r="N18" s="360">
        <f t="shared" si="23"/>
      </c>
      <c r="O18" s="368">
        <f t="shared" si="24"/>
      </c>
      <c r="P18" s="402"/>
      <c r="Q18" s="361">
        <f t="shared" si="25"/>
      </c>
      <c r="R18" s="361">
        <f t="shared" si="0"/>
      </c>
      <c r="S18" s="361">
        <f t="shared" si="1"/>
      </c>
      <c r="T18" s="361">
        <f t="shared" si="2"/>
      </c>
      <c r="U18" s="361">
        <f t="shared" si="3"/>
      </c>
      <c r="V18" s="361">
        <f t="shared" si="4"/>
      </c>
      <c r="W18" s="361">
        <f t="shared" si="5"/>
      </c>
      <c r="X18" s="361">
        <f t="shared" si="6"/>
      </c>
      <c r="Y18" s="361">
        <f t="shared" si="7"/>
      </c>
      <c r="Z18" s="361">
        <f t="shared" si="8"/>
      </c>
      <c r="AA18" s="361">
        <f t="shared" si="9"/>
      </c>
      <c r="AB18" s="361">
        <f t="shared" si="10"/>
      </c>
      <c r="AC18" s="362"/>
      <c r="AD18" s="363">
        <f t="shared" si="11"/>
        <v>0</v>
      </c>
      <c r="AE18" s="364">
        <f t="shared" si="26"/>
      </c>
      <c r="AF18" s="365">
        <f t="shared" si="27"/>
      </c>
      <c r="AG18" s="366">
        <f t="shared" si="28"/>
      </c>
      <c r="AH18" s="367">
        <f t="shared" si="29"/>
      </c>
      <c r="AL18" s="343" t="s">
        <v>288</v>
      </c>
      <c r="AM18" s="398">
        <v>5</v>
      </c>
      <c r="AN18" s="398">
        <v>0</v>
      </c>
      <c r="AO18" s="398">
        <v>0</v>
      </c>
      <c r="AP18" s="398"/>
      <c r="AQ18" s="398">
        <v>2</v>
      </c>
      <c r="AR18" s="398"/>
      <c r="AS18" s="398">
        <v>0.5</v>
      </c>
      <c r="AT18" s="398">
        <v>4</v>
      </c>
      <c r="AU18" s="398">
        <v>1</v>
      </c>
      <c r="AV18" s="398">
        <v>1</v>
      </c>
      <c r="AW18" s="398">
        <v>1</v>
      </c>
      <c r="AX18" s="398">
        <v>0.05</v>
      </c>
      <c r="AY18" s="394">
        <v>20</v>
      </c>
      <c r="AZ18" s="395">
        <v>23000</v>
      </c>
    </row>
    <row r="19" spans="1:52" ht="13.5">
      <c r="A19" s="399"/>
      <c r="B19" s="359"/>
      <c r="C19" s="360">
        <f t="shared" si="12"/>
      </c>
      <c r="D19" s="360">
        <f t="shared" si="13"/>
      </c>
      <c r="E19" s="360">
        <f t="shared" si="14"/>
      </c>
      <c r="F19" s="360">
        <f t="shared" si="15"/>
      </c>
      <c r="G19" s="360">
        <f t="shared" si="16"/>
      </c>
      <c r="H19" s="360">
        <f t="shared" si="17"/>
      </c>
      <c r="I19" s="360">
        <f t="shared" si="18"/>
      </c>
      <c r="J19" s="360">
        <f t="shared" si="19"/>
      </c>
      <c r="K19" s="360">
        <f t="shared" si="20"/>
      </c>
      <c r="L19" s="360">
        <f t="shared" si="21"/>
      </c>
      <c r="M19" s="360">
        <f t="shared" si="22"/>
      </c>
      <c r="N19" s="360">
        <f t="shared" si="23"/>
      </c>
      <c r="O19" s="368">
        <f t="shared" si="24"/>
      </c>
      <c r="P19" s="402"/>
      <c r="Q19" s="361">
        <f t="shared" si="25"/>
      </c>
      <c r="R19" s="361">
        <f t="shared" si="0"/>
      </c>
      <c r="S19" s="361">
        <f t="shared" si="1"/>
      </c>
      <c r="T19" s="361">
        <f t="shared" si="2"/>
      </c>
      <c r="U19" s="361">
        <f t="shared" si="3"/>
      </c>
      <c r="V19" s="361">
        <f t="shared" si="4"/>
      </c>
      <c r="W19" s="361">
        <f t="shared" si="5"/>
      </c>
      <c r="X19" s="361">
        <f t="shared" si="6"/>
      </c>
      <c r="Y19" s="361">
        <f t="shared" si="7"/>
      </c>
      <c r="Z19" s="361">
        <f t="shared" si="8"/>
      </c>
      <c r="AA19" s="361">
        <f t="shared" si="9"/>
      </c>
      <c r="AB19" s="361">
        <f t="shared" si="10"/>
      </c>
      <c r="AC19" s="362"/>
      <c r="AD19" s="363">
        <f t="shared" si="11"/>
        <v>0</v>
      </c>
      <c r="AE19" s="364">
        <f t="shared" si="26"/>
      </c>
      <c r="AF19" s="365">
        <f t="shared" si="27"/>
      </c>
      <c r="AG19" s="366">
        <f t="shared" si="28"/>
      </c>
      <c r="AH19" s="367">
        <f t="shared" si="29"/>
      </c>
      <c r="AL19" s="343" t="s">
        <v>285</v>
      </c>
      <c r="AM19" s="398">
        <v>0</v>
      </c>
      <c r="AN19" s="398">
        <v>0</v>
      </c>
      <c r="AO19" s="398">
        <v>0</v>
      </c>
      <c r="AP19" s="398"/>
      <c r="AQ19" s="398"/>
      <c r="AR19" s="398"/>
      <c r="AS19" s="398"/>
      <c r="AT19" s="398"/>
      <c r="AU19" s="398"/>
      <c r="AV19" s="398"/>
      <c r="AW19" s="398"/>
      <c r="AX19" s="398"/>
      <c r="AY19" s="394">
        <v>20</v>
      </c>
      <c r="AZ19" s="395">
        <v>50000</v>
      </c>
    </row>
    <row r="20" spans="1:52" ht="13.5">
      <c r="A20" s="399"/>
      <c r="B20" s="359"/>
      <c r="C20" s="360">
        <f t="shared" si="12"/>
      </c>
      <c r="D20" s="360">
        <f t="shared" si="13"/>
      </c>
      <c r="E20" s="360">
        <f t="shared" si="14"/>
      </c>
      <c r="F20" s="360">
        <f t="shared" si="15"/>
      </c>
      <c r="G20" s="360">
        <f t="shared" si="16"/>
      </c>
      <c r="H20" s="360">
        <f t="shared" si="17"/>
      </c>
      <c r="I20" s="360">
        <f t="shared" si="18"/>
      </c>
      <c r="J20" s="360">
        <f t="shared" si="19"/>
      </c>
      <c r="K20" s="360">
        <f t="shared" si="20"/>
      </c>
      <c r="L20" s="360">
        <f t="shared" si="21"/>
      </c>
      <c r="M20" s="360">
        <f t="shared" si="22"/>
      </c>
      <c r="N20" s="360">
        <f t="shared" si="23"/>
      </c>
      <c r="O20" s="368">
        <f t="shared" si="24"/>
      </c>
      <c r="P20" s="402"/>
      <c r="Q20" s="361">
        <f t="shared" si="25"/>
      </c>
      <c r="R20" s="361">
        <f t="shared" si="0"/>
      </c>
      <c r="S20" s="361">
        <f t="shared" si="1"/>
      </c>
      <c r="T20" s="361">
        <f t="shared" si="2"/>
      </c>
      <c r="U20" s="361">
        <f t="shared" si="3"/>
      </c>
      <c r="V20" s="361">
        <f t="shared" si="4"/>
      </c>
      <c r="W20" s="361">
        <f t="shared" si="5"/>
      </c>
      <c r="X20" s="361">
        <f t="shared" si="6"/>
      </c>
      <c r="Y20" s="361">
        <f t="shared" si="7"/>
      </c>
      <c r="Z20" s="361">
        <f t="shared" si="8"/>
      </c>
      <c r="AA20" s="361">
        <f t="shared" si="9"/>
      </c>
      <c r="AB20" s="361">
        <f t="shared" si="10"/>
      </c>
      <c r="AC20" s="362"/>
      <c r="AD20" s="363">
        <f t="shared" si="11"/>
        <v>0</v>
      </c>
      <c r="AE20" s="364">
        <f t="shared" si="26"/>
      </c>
      <c r="AF20" s="365">
        <f t="shared" si="27"/>
      </c>
      <c r="AG20" s="366">
        <f t="shared" si="28"/>
      </c>
      <c r="AH20" s="367">
        <f t="shared" si="29"/>
      </c>
      <c r="AL20" s="343" t="s">
        <v>300</v>
      </c>
      <c r="AM20" s="346">
        <v>16</v>
      </c>
      <c r="AN20" s="347">
        <v>2</v>
      </c>
      <c r="AO20" s="347">
        <v>16</v>
      </c>
      <c r="AP20" s="347"/>
      <c r="AQ20" s="347"/>
      <c r="AR20" s="347"/>
      <c r="AS20" s="347"/>
      <c r="AT20" s="347"/>
      <c r="AU20" s="347">
        <v>0.25</v>
      </c>
      <c r="AV20" s="347"/>
      <c r="AW20" s="347"/>
      <c r="AX20" s="347"/>
      <c r="AY20" s="344">
        <v>22.5</v>
      </c>
      <c r="AZ20" s="392">
        <v>4900</v>
      </c>
    </row>
    <row r="21" spans="1:52" ht="13.5">
      <c r="A21" s="399"/>
      <c r="B21" s="359" t="s">
        <v>306</v>
      </c>
      <c r="C21" s="360">
        <f t="shared" si="12"/>
        <v>20</v>
      </c>
      <c r="D21" s="360">
        <f t="shared" si="13"/>
        <v>3</v>
      </c>
      <c r="E21" s="360">
        <f t="shared" si="14"/>
        <v>20</v>
      </c>
      <c r="F21" s="360">
        <f t="shared" si="15"/>
        <v>0</v>
      </c>
      <c r="G21" s="360">
        <f t="shared" si="16"/>
        <v>0</v>
      </c>
      <c r="H21" s="360">
        <f t="shared" si="17"/>
        <v>6.8</v>
      </c>
      <c r="I21" s="360">
        <f t="shared" si="18"/>
        <v>0</v>
      </c>
      <c r="J21" s="360">
        <f t="shared" si="19"/>
        <v>0.57</v>
      </c>
      <c r="K21" s="360">
        <f t="shared" si="20"/>
        <v>0.29</v>
      </c>
      <c r="L21" s="360">
        <f t="shared" si="21"/>
        <v>0</v>
      </c>
      <c r="M21" s="360">
        <f t="shared" si="22"/>
        <v>0.29</v>
      </c>
      <c r="N21" s="360">
        <f t="shared" si="23"/>
        <v>0</v>
      </c>
      <c r="O21" s="368">
        <f t="shared" si="24"/>
        <v>22.5</v>
      </c>
      <c r="P21" s="402"/>
      <c r="Q21" s="361">
        <f t="shared" si="25"/>
      </c>
      <c r="R21" s="361">
        <f t="shared" si="0"/>
      </c>
      <c r="S21" s="361">
        <f t="shared" si="1"/>
      </c>
      <c r="T21" s="361">
        <f t="shared" si="2"/>
      </c>
      <c r="U21" s="361">
        <f t="shared" si="3"/>
      </c>
      <c r="V21" s="361">
        <f t="shared" si="4"/>
      </c>
      <c r="W21" s="361">
        <f t="shared" si="5"/>
      </c>
      <c r="X21" s="361">
        <f t="shared" si="6"/>
      </c>
      <c r="Y21" s="361">
        <f t="shared" si="7"/>
      </c>
      <c r="Z21" s="361">
        <f t="shared" si="8"/>
      </c>
      <c r="AA21" s="361">
        <f t="shared" si="9"/>
      </c>
      <c r="AB21" s="361">
        <f t="shared" si="10"/>
      </c>
      <c r="AC21" s="362"/>
      <c r="AD21" s="363">
        <f t="shared" si="11"/>
        <v>0</v>
      </c>
      <c r="AE21" s="364">
        <f t="shared" si="26"/>
        <v>0</v>
      </c>
      <c r="AF21" s="365">
        <f t="shared" si="27"/>
        <v>0</v>
      </c>
      <c r="AG21" s="369">
        <f>IF($B21="","",VLOOKUP($B21,$AL$7:$AZ$39,15))</f>
        <v>8400</v>
      </c>
      <c r="AH21" s="367">
        <f t="shared" si="29"/>
        <v>0</v>
      </c>
      <c r="AL21" s="343" t="s">
        <v>251</v>
      </c>
      <c r="AM21" s="346">
        <v>22</v>
      </c>
      <c r="AN21" s="347">
        <v>5</v>
      </c>
      <c r="AO21" s="347">
        <v>10</v>
      </c>
      <c r="AP21" s="347"/>
      <c r="AQ21" s="347"/>
      <c r="AR21" s="347">
        <v>11.5</v>
      </c>
      <c r="AS21" s="347"/>
      <c r="AT21" s="347">
        <v>1.9</v>
      </c>
      <c r="AU21" s="347"/>
      <c r="AV21" s="347"/>
      <c r="AW21" s="347"/>
      <c r="AX21" s="347"/>
      <c r="AY21" s="344">
        <v>22.5</v>
      </c>
      <c r="AZ21" s="392">
        <v>5300</v>
      </c>
    </row>
    <row r="22" spans="29:52" ht="13.5">
      <c r="AC22" s="370"/>
      <c r="AL22" s="343" t="s">
        <v>290</v>
      </c>
      <c r="AM22" s="398">
        <v>0</v>
      </c>
      <c r="AN22" s="398">
        <v>0</v>
      </c>
      <c r="AO22" s="398">
        <v>0</v>
      </c>
      <c r="AP22" s="398"/>
      <c r="AQ22" s="398"/>
      <c r="AR22" s="398"/>
      <c r="AS22" s="398"/>
      <c r="AT22" s="398"/>
      <c r="AU22" s="398"/>
      <c r="AV22" s="398"/>
      <c r="AW22" s="398"/>
      <c r="AX22" s="398"/>
      <c r="AY22" s="394">
        <v>20</v>
      </c>
      <c r="AZ22" s="395">
        <v>24000</v>
      </c>
    </row>
    <row r="23" spans="15:52" ht="14.25" thickBot="1">
      <c r="O23" s="349" t="s">
        <v>269</v>
      </c>
      <c r="Q23" s="371">
        <f aca="true" t="shared" si="30" ref="Q23:AB23">SUM(Q7:Q21)</f>
        <v>0</v>
      </c>
      <c r="R23" s="371">
        <f t="shared" si="30"/>
        <v>0</v>
      </c>
      <c r="S23" s="371">
        <f t="shared" si="30"/>
        <v>0</v>
      </c>
      <c r="T23" s="371">
        <f t="shared" si="30"/>
        <v>0</v>
      </c>
      <c r="U23" s="371">
        <f t="shared" si="30"/>
        <v>0</v>
      </c>
      <c r="V23" s="371">
        <f t="shared" si="30"/>
        <v>0</v>
      </c>
      <c r="W23" s="371">
        <f t="shared" si="30"/>
        <v>0</v>
      </c>
      <c r="X23" s="371">
        <f t="shared" si="30"/>
        <v>0</v>
      </c>
      <c r="Y23" s="371">
        <f t="shared" si="30"/>
        <v>0</v>
      </c>
      <c r="Z23" s="371">
        <f t="shared" si="30"/>
        <v>0</v>
      </c>
      <c r="AA23" s="371">
        <f t="shared" si="30"/>
        <v>0</v>
      </c>
      <c r="AB23" s="371">
        <f t="shared" si="30"/>
        <v>0</v>
      </c>
      <c r="AD23" s="372">
        <f>SUM(AD7:AD21)</f>
        <v>0</v>
      </c>
      <c r="AE23" s="373">
        <f>SUM(AE7:AE21)</f>
        <v>0</v>
      </c>
      <c r="AF23" s="373">
        <f>SUM(AF7:AF21)</f>
        <v>0</v>
      </c>
      <c r="AG23" s="358"/>
      <c r="AH23" s="374">
        <f>SUM(AH7:AH21)</f>
        <v>0</v>
      </c>
      <c r="AL23" s="343" t="s">
        <v>289</v>
      </c>
      <c r="AM23" s="398">
        <v>5</v>
      </c>
      <c r="AN23" s="398">
        <v>0</v>
      </c>
      <c r="AO23" s="398">
        <v>0</v>
      </c>
      <c r="AP23" s="398">
        <v>12</v>
      </c>
      <c r="AQ23" s="398"/>
      <c r="AR23" s="398"/>
      <c r="AS23" s="398"/>
      <c r="AT23" s="398"/>
      <c r="AU23" s="398"/>
      <c r="AV23" s="398"/>
      <c r="AW23" s="398"/>
      <c r="AX23" s="398"/>
      <c r="AY23" s="394">
        <v>20</v>
      </c>
      <c r="AZ23" s="395">
        <v>20000</v>
      </c>
    </row>
    <row r="24" spans="15:52" ht="14.25" thickTop="1">
      <c r="O24" s="349" t="s">
        <v>270</v>
      </c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L24" s="343" t="s">
        <v>305</v>
      </c>
      <c r="AM24" s="398">
        <v>5</v>
      </c>
      <c r="AN24" s="398">
        <v>0</v>
      </c>
      <c r="AO24" s="398">
        <v>0</v>
      </c>
      <c r="AP24" s="398"/>
      <c r="AQ24" s="398"/>
      <c r="AR24" s="398"/>
      <c r="AS24" s="398"/>
      <c r="AT24" s="398"/>
      <c r="AU24" s="398"/>
      <c r="AV24" s="398"/>
      <c r="AW24" s="398"/>
      <c r="AX24" s="398"/>
      <c r="AY24" s="394">
        <v>20</v>
      </c>
      <c r="AZ24" s="395">
        <v>34000</v>
      </c>
    </row>
    <row r="25" spans="15:52" ht="13.5">
      <c r="O25" s="375"/>
      <c r="P25" s="370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L25" s="343" t="s">
        <v>304</v>
      </c>
      <c r="AM25" s="398">
        <v>0</v>
      </c>
      <c r="AN25" s="398">
        <v>0</v>
      </c>
      <c r="AO25" s="398">
        <v>15</v>
      </c>
      <c r="AP25" s="398"/>
      <c r="AQ25" s="398"/>
      <c r="AR25" s="398"/>
      <c r="AS25" s="398"/>
      <c r="AT25" s="398"/>
      <c r="AU25" s="398"/>
      <c r="AV25" s="398"/>
      <c r="AW25" s="398"/>
      <c r="AX25" s="398"/>
      <c r="AY25" s="394">
        <v>20</v>
      </c>
      <c r="AZ25" s="395">
        <v>33000</v>
      </c>
    </row>
    <row r="26" spans="15:52" ht="13.5">
      <c r="O26" s="349" t="s">
        <v>271</v>
      </c>
      <c r="Q26" s="378">
        <f aca="true" t="shared" si="31" ref="Q26:AB26">SUM(Q23-Q24)</f>
        <v>0</v>
      </c>
      <c r="R26" s="378">
        <f t="shared" si="31"/>
        <v>0</v>
      </c>
      <c r="S26" s="378">
        <f t="shared" si="31"/>
        <v>0</v>
      </c>
      <c r="T26" s="378">
        <f t="shared" si="31"/>
        <v>0</v>
      </c>
      <c r="U26" s="378">
        <f t="shared" si="31"/>
        <v>0</v>
      </c>
      <c r="V26" s="378">
        <f t="shared" si="31"/>
        <v>0</v>
      </c>
      <c r="W26" s="378">
        <f t="shared" si="31"/>
        <v>0</v>
      </c>
      <c r="X26" s="378">
        <f t="shared" si="31"/>
        <v>0</v>
      </c>
      <c r="Y26" s="378">
        <f t="shared" si="31"/>
        <v>0</v>
      </c>
      <c r="Z26" s="378">
        <f t="shared" si="31"/>
        <v>0</v>
      </c>
      <c r="AA26" s="378">
        <f t="shared" si="31"/>
        <v>0</v>
      </c>
      <c r="AB26" s="378">
        <f t="shared" si="31"/>
        <v>0</v>
      </c>
      <c r="AF26" s="349" t="s">
        <v>273</v>
      </c>
      <c r="AH26" s="379"/>
      <c r="AL26" s="388" t="s">
        <v>248</v>
      </c>
      <c r="AM26" s="345">
        <v>25</v>
      </c>
      <c r="AN26" s="387">
        <v>5</v>
      </c>
      <c r="AO26" s="387">
        <v>5</v>
      </c>
      <c r="AP26" s="387"/>
      <c r="AQ26" s="387"/>
      <c r="AR26" s="387">
        <v>11.5</v>
      </c>
      <c r="AS26" s="387"/>
      <c r="AT26" s="387">
        <v>0.9</v>
      </c>
      <c r="AU26" s="387"/>
      <c r="AV26" s="387"/>
      <c r="AW26" s="387"/>
      <c r="AX26" s="387"/>
      <c r="AY26" s="389">
        <v>22.5</v>
      </c>
      <c r="AZ26" s="393">
        <v>5100</v>
      </c>
    </row>
    <row r="27" spans="15:52" ht="13.5">
      <c r="O27" s="349"/>
      <c r="AF27" s="349" t="s">
        <v>274</v>
      </c>
      <c r="AH27" s="379">
        <f>SUM(AH23-AH26)</f>
        <v>0</v>
      </c>
      <c r="AL27" s="343" t="s">
        <v>252</v>
      </c>
      <c r="AM27" s="346">
        <v>0</v>
      </c>
      <c r="AN27" s="347">
        <v>0</v>
      </c>
      <c r="AO27" s="347">
        <v>0</v>
      </c>
      <c r="AP27" s="347">
        <v>22</v>
      </c>
      <c r="AQ27" s="347"/>
      <c r="AR27" s="347">
        <v>16</v>
      </c>
      <c r="AS27" s="347"/>
      <c r="AT27" s="347"/>
      <c r="AU27" s="347"/>
      <c r="AV27" s="347"/>
      <c r="AW27" s="347"/>
      <c r="AX27" s="347"/>
      <c r="AY27" s="344">
        <v>22.5</v>
      </c>
      <c r="AZ27" s="392">
        <v>2400</v>
      </c>
    </row>
    <row r="28" spans="15:52" ht="13.5">
      <c r="O28" s="349" t="s">
        <v>272</v>
      </c>
      <c r="Q28" s="357" t="str">
        <f aca="true" t="shared" si="32" ref="Q28:AB28">IF(Q26&lt;0,"^","OK")</f>
        <v>OK</v>
      </c>
      <c r="R28" s="357" t="str">
        <f t="shared" si="32"/>
        <v>OK</v>
      </c>
      <c r="S28" s="357" t="str">
        <f t="shared" si="32"/>
        <v>OK</v>
      </c>
      <c r="T28" s="357" t="str">
        <f t="shared" si="32"/>
        <v>OK</v>
      </c>
      <c r="U28" s="357" t="str">
        <f t="shared" si="32"/>
        <v>OK</v>
      </c>
      <c r="V28" s="357" t="str">
        <f t="shared" si="32"/>
        <v>OK</v>
      </c>
      <c r="W28" s="357" t="str">
        <f t="shared" si="32"/>
        <v>OK</v>
      </c>
      <c r="X28" s="357" t="str">
        <f t="shared" si="32"/>
        <v>OK</v>
      </c>
      <c r="Y28" s="357" t="str">
        <f t="shared" si="32"/>
        <v>OK</v>
      </c>
      <c r="Z28" s="357" t="str">
        <f t="shared" si="32"/>
        <v>OK</v>
      </c>
      <c r="AA28" s="357" t="str">
        <f t="shared" si="32"/>
        <v>OK</v>
      </c>
      <c r="AB28" s="357" t="str">
        <f t="shared" si="32"/>
        <v>OK</v>
      </c>
      <c r="AL28" s="343" t="s">
        <v>301</v>
      </c>
      <c r="AM28" s="398">
        <v>16</v>
      </c>
      <c r="AN28" s="398">
        <v>6</v>
      </c>
      <c r="AO28" s="398">
        <v>8</v>
      </c>
      <c r="AP28" s="398"/>
      <c r="AQ28" s="398"/>
      <c r="AR28" s="398"/>
      <c r="AS28" s="398"/>
      <c r="AT28" s="398"/>
      <c r="AU28" s="398">
        <v>0.2</v>
      </c>
      <c r="AV28" s="398"/>
      <c r="AW28" s="398"/>
      <c r="AX28" s="398"/>
      <c r="AY28" s="394">
        <v>22.5</v>
      </c>
      <c r="AZ28" s="395">
        <v>3500</v>
      </c>
    </row>
    <row r="29" spans="38:52" ht="13.5">
      <c r="AL29" s="343" t="s">
        <v>296</v>
      </c>
      <c r="AM29" s="346">
        <v>21</v>
      </c>
      <c r="AN29" s="347">
        <v>4</v>
      </c>
      <c r="AO29" s="347">
        <v>7</v>
      </c>
      <c r="AP29" s="347"/>
      <c r="AQ29" s="347"/>
      <c r="AR29" s="347"/>
      <c r="AS29" s="347"/>
      <c r="AT29" s="347"/>
      <c r="AU29" s="347">
        <v>0.15</v>
      </c>
      <c r="AV29" s="347"/>
      <c r="AW29" s="347"/>
      <c r="AX29" s="347"/>
      <c r="AY29" s="344">
        <v>22.5</v>
      </c>
      <c r="AZ29" s="392">
        <v>4600</v>
      </c>
    </row>
    <row r="30" spans="2:52" ht="14.25" thickBot="1">
      <c r="B30" s="349" t="s">
        <v>275</v>
      </c>
      <c r="AL30" s="343" t="s">
        <v>299</v>
      </c>
      <c r="AM30" s="398">
        <v>42</v>
      </c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4">
        <v>22.5</v>
      </c>
      <c r="AZ30" s="395">
        <v>7000</v>
      </c>
    </row>
    <row r="31" spans="2:52" ht="14.25" thickBot="1">
      <c r="B31" s="400"/>
      <c r="C31" s="350" t="s">
        <v>261</v>
      </c>
      <c r="AL31" s="343" t="s">
        <v>297</v>
      </c>
      <c r="AM31" s="346">
        <v>0</v>
      </c>
      <c r="AN31" s="347">
        <v>0</v>
      </c>
      <c r="AO31" s="347">
        <v>50</v>
      </c>
      <c r="AP31" s="347"/>
      <c r="AQ31" s="347"/>
      <c r="AR31" s="347"/>
      <c r="AS31" s="347"/>
      <c r="AT31" s="347"/>
      <c r="AU31" s="347"/>
      <c r="AV31" s="347"/>
      <c r="AW31" s="347"/>
      <c r="AX31" s="347"/>
      <c r="AY31" s="344">
        <v>22.5</v>
      </c>
      <c r="AZ31" s="392">
        <v>8100</v>
      </c>
    </row>
    <row r="32" spans="3:52" ht="13.5">
      <c r="C32" s="409" t="s">
        <v>264</v>
      </c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1"/>
      <c r="O32" s="351"/>
      <c r="P32" s="352"/>
      <c r="Q32" s="412" t="s">
        <v>280</v>
      </c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4"/>
      <c r="AC32" s="353"/>
      <c r="AD32" s="354"/>
      <c r="AE32" s="355"/>
      <c r="AF32" s="351"/>
      <c r="AG32" s="356"/>
      <c r="AH32" s="351"/>
      <c r="AL32" s="343" t="s">
        <v>254</v>
      </c>
      <c r="AM32" s="346">
        <v>10</v>
      </c>
      <c r="AN32" s="347">
        <v>4</v>
      </c>
      <c r="AO32" s="347">
        <v>16</v>
      </c>
      <c r="AP32" s="347"/>
      <c r="AQ32" s="347"/>
      <c r="AR32" s="347">
        <v>17</v>
      </c>
      <c r="AS32" s="347"/>
      <c r="AT32" s="347">
        <v>3</v>
      </c>
      <c r="AU32" s="347"/>
      <c r="AV32" s="347"/>
      <c r="AW32" s="347">
        <v>0.5</v>
      </c>
      <c r="AX32" s="347"/>
      <c r="AY32" s="344">
        <v>22.5</v>
      </c>
      <c r="AZ32" s="392">
        <v>4600</v>
      </c>
    </row>
    <row r="33" spans="1:52" ht="16.5" customHeight="1">
      <c r="A33" s="381" t="s">
        <v>262</v>
      </c>
      <c r="B33" s="381" t="s">
        <v>263</v>
      </c>
      <c r="C33" s="382" t="s">
        <v>140</v>
      </c>
      <c r="D33" s="383" t="s">
        <v>243</v>
      </c>
      <c r="E33" s="383" t="s">
        <v>244</v>
      </c>
      <c r="F33" s="382" t="s">
        <v>32</v>
      </c>
      <c r="G33" s="382" t="s">
        <v>35</v>
      </c>
      <c r="H33" s="382" t="s">
        <v>165</v>
      </c>
      <c r="I33" s="382" t="s">
        <v>142</v>
      </c>
      <c r="J33" s="382" t="s">
        <v>43</v>
      </c>
      <c r="K33" s="382" t="s">
        <v>46</v>
      </c>
      <c r="L33" s="382" t="s">
        <v>49</v>
      </c>
      <c r="M33" s="382" t="s">
        <v>52</v>
      </c>
      <c r="N33" s="382" t="s">
        <v>295</v>
      </c>
      <c r="O33" s="381" t="s">
        <v>265</v>
      </c>
      <c r="P33" s="381" t="s">
        <v>279</v>
      </c>
      <c r="Q33" s="382" t="s">
        <v>140</v>
      </c>
      <c r="R33" s="382" t="s">
        <v>141</v>
      </c>
      <c r="S33" s="382" t="s">
        <v>38</v>
      </c>
      <c r="T33" s="382" t="s">
        <v>32</v>
      </c>
      <c r="U33" s="382" t="s">
        <v>35</v>
      </c>
      <c r="V33" s="382" t="s">
        <v>165</v>
      </c>
      <c r="W33" s="382" t="s">
        <v>142</v>
      </c>
      <c r="X33" s="382" t="s">
        <v>43</v>
      </c>
      <c r="Y33" s="382" t="s">
        <v>46</v>
      </c>
      <c r="Z33" s="382" t="s">
        <v>49</v>
      </c>
      <c r="AA33" s="382" t="s">
        <v>52</v>
      </c>
      <c r="AB33" s="382" t="s">
        <v>295</v>
      </c>
      <c r="AC33" s="384"/>
      <c r="AD33" s="385" t="s">
        <v>281</v>
      </c>
      <c r="AE33" s="381" t="s">
        <v>166</v>
      </c>
      <c r="AF33" s="381" t="s">
        <v>266</v>
      </c>
      <c r="AG33" s="381" t="s">
        <v>267</v>
      </c>
      <c r="AH33" s="381" t="s">
        <v>268</v>
      </c>
      <c r="AL33" s="343" t="s">
        <v>302</v>
      </c>
      <c r="AM33" s="398">
        <v>25</v>
      </c>
      <c r="AN33" s="398">
        <v>4</v>
      </c>
      <c r="AO33" s="398">
        <v>4</v>
      </c>
      <c r="AP33" s="398"/>
      <c r="AQ33" s="398"/>
      <c r="AR33" s="398"/>
      <c r="AS33" s="398"/>
      <c r="AT33" s="398"/>
      <c r="AU33" s="398"/>
      <c r="AV33" s="398"/>
      <c r="AW33" s="398"/>
      <c r="AX33" s="398"/>
      <c r="AY33" s="394">
        <v>22.5</v>
      </c>
      <c r="AZ33" s="395">
        <v>4300</v>
      </c>
    </row>
    <row r="34" spans="1:52" ht="13.5">
      <c r="A34" s="399"/>
      <c r="B34" s="359"/>
      <c r="C34" s="360">
        <f>IF($B34="","",VLOOKUP($B34,$AL$7:$AZ$44,2))</f>
      </c>
      <c r="D34" s="360">
        <f>IF($B34="","",VLOOKUP($B34,$AL$7:$AZ$44,3))</f>
      </c>
      <c r="E34" s="360">
        <f>IF($B34="","",VLOOKUP($B34,$AL$7:$AZ$44,4))</f>
      </c>
      <c r="F34" s="360">
        <f>IF($B34="","",VLOOKUP($B34,$AL$7:$AZ$44,5))</f>
      </c>
      <c r="G34" s="360">
        <f>IF($B34="","",VLOOKUP($B34,$AL$7:$AZ$44,6))</f>
      </c>
      <c r="H34" s="360">
        <f>IF($B34="","",VLOOKUP($B34,$AL$7:$AZ$44,7))</f>
      </c>
      <c r="I34" s="360">
        <f>IF($B34="","",VLOOKUP($B34,$AL$7:$AZ$44,8))</f>
      </c>
      <c r="J34" s="360">
        <f>IF($B34="","",VLOOKUP($B34,$AL$7:$AZ$44,9))</f>
      </c>
      <c r="K34" s="360">
        <f>IF($B34="","",VLOOKUP($B34,$AL$7:$AZ$44,10))</f>
      </c>
      <c r="L34" s="360">
        <f>IF($B34="","",VLOOKUP($B34,$AL$7:$AZ$44,11))</f>
      </c>
      <c r="M34" s="360">
        <f>IF($B34="","",VLOOKUP($B34,$AL$7:$AZ$44,12))</f>
      </c>
      <c r="N34" s="360">
        <f>IF($B34="","",VLOOKUP($B34,$AL$7:$AZ$44,13))</f>
      </c>
      <c r="O34" s="368">
        <f>IF($B34="","",VLOOKUP($B34,$AL$7:$AZ$44,14))</f>
      </c>
      <c r="P34" s="401"/>
      <c r="Q34" s="361">
        <f aca="true" t="shared" si="33" ref="Q34:Q54">IF(P34="","",PRODUCT(P34,(C34/100)))</f>
      </c>
      <c r="R34" s="361">
        <f aca="true" t="shared" si="34" ref="R34:R54">IF(P34="","",PRODUCT(P34,(D34/100))*0.45)</f>
      </c>
      <c r="S34" s="361">
        <f aca="true" t="shared" si="35" ref="S34:S54">IF(P34="","",PRODUCT(P34,(E34/100))*0.83)</f>
      </c>
      <c r="T34" s="361">
        <f aca="true" t="shared" si="36" ref="T34:T54">IF(P34="","",PRODUCT(P34,(F34/100)))</f>
      </c>
      <c r="U34" s="361">
        <f aca="true" t="shared" si="37" ref="U34:U54">IF(P34="","",PRODUCT(P34,(G34/100)))</f>
      </c>
      <c r="V34" s="361">
        <f aca="true" t="shared" si="38" ref="V34:V54">IF(P34="","",PRODUCT(P34,(H34/100)))</f>
      </c>
      <c r="W34" s="361">
        <f aca="true" t="shared" si="39" ref="W34:W54">IF(P34="","",PRODUCT(P34,(I34/100)))</f>
      </c>
      <c r="X34" s="361">
        <f aca="true" t="shared" si="40" ref="X34:X54">IF(P34="","",PRODUCT(P34,(J34/100)))</f>
      </c>
      <c r="Y34" s="361">
        <f aca="true" t="shared" si="41" ref="Y34:Y54">IF(P34="","",PRODUCT(P34,(K34/100)))</f>
      </c>
      <c r="Z34" s="361">
        <f aca="true" t="shared" si="42" ref="Z34:Z54">IF(P34="","",PRODUCT(P34,(L34/100)))</f>
      </c>
      <c r="AA34" s="361">
        <f aca="true" t="shared" si="43" ref="AA34:AA54">IF(P34="","",PRODUCT(P34,(M34/100)))</f>
      </c>
      <c r="AB34" s="361">
        <f aca="true" t="shared" si="44" ref="AB34:AB54">IF(P34="","",PRODUCT(P34,(N34/100)))</f>
      </c>
      <c r="AC34" s="362"/>
      <c r="AD34" s="363">
        <f>SUM($B$31*P34)/1000</f>
        <v>0</v>
      </c>
      <c r="AE34" s="364">
        <f aca="true" t="shared" si="45" ref="AE34:AE54">IF(B34="","",AD34/O34)</f>
      </c>
      <c r="AF34" s="365">
        <f aca="true" t="shared" si="46" ref="AF34:AF54">IF(B34="","",ROUNDUP(AE34,0))</f>
      </c>
      <c r="AG34" s="366">
        <f>IF($B34="","",VLOOKUP($B34,$AL$7:$AZ$44,15))</f>
      </c>
      <c r="AH34" s="367">
        <f aca="true" t="shared" si="47" ref="AH34:AH54">IF(B34="","",SUM(AG34*AF34))</f>
      </c>
      <c r="AL34" s="343" t="s">
        <v>298</v>
      </c>
      <c r="AM34" s="346">
        <v>46</v>
      </c>
      <c r="AN34" s="347">
        <v>0</v>
      </c>
      <c r="AO34" s="347">
        <v>0</v>
      </c>
      <c r="AP34" s="347"/>
      <c r="AQ34" s="347"/>
      <c r="AR34" s="347"/>
      <c r="AS34" s="347"/>
      <c r="AT34" s="347"/>
      <c r="AU34" s="347"/>
      <c r="AV34" s="347"/>
      <c r="AW34" s="347"/>
      <c r="AX34" s="347"/>
      <c r="AY34" s="344">
        <v>22.5</v>
      </c>
      <c r="AZ34" s="392">
        <v>5500</v>
      </c>
    </row>
    <row r="35" spans="1:52" ht="13.5">
      <c r="A35" s="399"/>
      <c r="B35" s="359"/>
      <c r="C35" s="360">
        <f aca="true" t="shared" si="48" ref="C35:C54">IF($B35="","",VLOOKUP($B35,$AL$7:$AZ$44,2))</f>
      </c>
      <c r="D35" s="360">
        <f aca="true" t="shared" si="49" ref="D35:D54">IF($B35="","",VLOOKUP($B35,$AL$7:$AZ$44,3))</f>
      </c>
      <c r="E35" s="360">
        <f aca="true" t="shared" si="50" ref="E35:E54">IF($B35="","",VLOOKUP($B35,$AL$7:$AZ$44,4))</f>
      </c>
      <c r="F35" s="360">
        <f aca="true" t="shared" si="51" ref="F35:F54">IF($B35="","",VLOOKUP($B35,$AL$7:$AZ$44,5))</f>
      </c>
      <c r="G35" s="360">
        <f aca="true" t="shared" si="52" ref="G35:G54">IF($B35="","",VLOOKUP($B35,$AL$7:$AZ$44,6))</f>
      </c>
      <c r="H35" s="360">
        <f aca="true" t="shared" si="53" ref="H35:H54">IF($B35="","",VLOOKUP($B35,$AL$7:$AZ$44,7))</f>
      </c>
      <c r="I35" s="360">
        <f aca="true" t="shared" si="54" ref="I35:I54">IF($B35="","",VLOOKUP($B35,$AL$7:$AZ$44,8))</f>
      </c>
      <c r="J35" s="360">
        <f aca="true" t="shared" si="55" ref="J35:J54">IF($B35="","",VLOOKUP($B35,$AL$7:$AZ$44,9))</f>
      </c>
      <c r="K35" s="360">
        <f aca="true" t="shared" si="56" ref="K35:K54">IF($B35="","",VLOOKUP($B35,$AL$7:$AZ$44,10))</f>
      </c>
      <c r="L35" s="360">
        <f aca="true" t="shared" si="57" ref="L35:L54">IF($B35="","",VLOOKUP($B35,$AL$7:$AZ$44,11))</f>
      </c>
      <c r="M35" s="360">
        <f aca="true" t="shared" si="58" ref="M35:M54">IF($B35="","",VLOOKUP($B35,$AL$7:$AZ$44,12))</f>
      </c>
      <c r="N35" s="360">
        <f aca="true" t="shared" si="59" ref="N35:N54">IF($B35="","",VLOOKUP($B35,$AL$7:$AZ$44,13))</f>
      </c>
      <c r="O35" s="368">
        <f aca="true" t="shared" si="60" ref="O35:O54">IF($B35="","",VLOOKUP($B35,$AL$7:$AZ$44,14))</f>
      </c>
      <c r="P35" s="402"/>
      <c r="Q35" s="361">
        <f t="shared" si="33"/>
      </c>
      <c r="R35" s="361">
        <f t="shared" si="34"/>
      </c>
      <c r="S35" s="361">
        <f t="shared" si="35"/>
      </c>
      <c r="T35" s="361">
        <f t="shared" si="36"/>
      </c>
      <c r="U35" s="361">
        <f t="shared" si="37"/>
      </c>
      <c r="V35" s="361">
        <f t="shared" si="38"/>
      </c>
      <c r="W35" s="361">
        <f t="shared" si="39"/>
      </c>
      <c r="X35" s="361">
        <f t="shared" si="40"/>
      </c>
      <c r="Y35" s="361">
        <f t="shared" si="41"/>
      </c>
      <c r="Z35" s="361">
        <f t="shared" si="42"/>
      </c>
      <c r="AA35" s="361">
        <f t="shared" si="43"/>
      </c>
      <c r="AB35" s="361">
        <f t="shared" si="44"/>
      </c>
      <c r="AC35" s="362"/>
      <c r="AD35" s="363">
        <f aca="true" t="shared" si="61" ref="AD35:AD54">SUM($B$31*P35)/1000</f>
        <v>0</v>
      </c>
      <c r="AE35" s="364">
        <f t="shared" si="45"/>
      </c>
      <c r="AF35" s="365">
        <f t="shared" si="46"/>
      </c>
      <c r="AG35" s="366">
        <f aca="true" t="shared" si="62" ref="AG35:AG53">IF($B35="","",VLOOKUP($B35,$AL$7:$AZ$44,15))</f>
      </c>
      <c r="AH35" s="367">
        <f t="shared" si="47"/>
      </c>
      <c r="AL35" s="343" t="s">
        <v>250</v>
      </c>
      <c r="AM35" s="346">
        <v>19</v>
      </c>
      <c r="AN35" s="347">
        <v>3</v>
      </c>
      <c r="AO35" s="347">
        <v>19</v>
      </c>
      <c r="AP35" s="347"/>
      <c r="AQ35" s="347"/>
      <c r="AR35" s="347">
        <v>6.8</v>
      </c>
      <c r="AS35" s="347"/>
      <c r="AT35" s="347">
        <v>3</v>
      </c>
      <c r="AU35" s="347"/>
      <c r="AV35" s="347"/>
      <c r="AW35" s="347"/>
      <c r="AX35" s="347"/>
      <c r="AY35" s="344">
        <v>22.5</v>
      </c>
      <c r="AZ35" s="392">
        <v>5000</v>
      </c>
    </row>
    <row r="36" spans="1:52" ht="13.5">
      <c r="A36" s="399"/>
      <c r="B36" s="359"/>
      <c r="C36" s="360">
        <f t="shared" si="48"/>
      </c>
      <c r="D36" s="360">
        <f t="shared" si="49"/>
      </c>
      <c r="E36" s="360">
        <f t="shared" si="50"/>
      </c>
      <c r="F36" s="360">
        <f t="shared" si="51"/>
      </c>
      <c r="G36" s="360">
        <f t="shared" si="52"/>
      </c>
      <c r="H36" s="360">
        <f t="shared" si="53"/>
      </c>
      <c r="I36" s="360">
        <f t="shared" si="54"/>
      </c>
      <c r="J36" s="360">
        <f t="shared" si="55"/>
      </c>
      <c r="K36" s="360">
        <f t="shared" si="56"/>
      </c>
      <c r="L36" s="360">
        <f t="shared" si="57"/>
      </c>
      <c r="M36" s="360">
        <f t="shared" si="58"/>
      </c>
      <c r="N36" s="360">
        <f t="shared" si="59"/>
      </c>
      <c r="O36" s="368">
        <f t="shared" si="60"/>
      </c>
      <c r="P36" s="402"/>
      <c r="Q36" s="361">
        <f t="shared" si="33"/>
      </c>
      <c r="R36" s="361">
        <f t="shared" si="34"/>
      </c>
      <c r="S36" s="361">
        <f t="shared" si="35"/>
      </c>
      <c r="T36" s="361">
        <f t="shared" si="36"/>
      </c>
      <c r="U36" s="361">
        <f t="shared" si="37"/>
      </c>
      <c r="V36" s="361">
        <f t="shared" si="38"/>
      </c>
      <c r="W36" s="361">
        <f t="shared" si="39"/>
      </c>
      <c r="X36" s="361">
        <f t="shared" si="40"/>
      </c>
      <c r="Y36" s="361">
        <f t="shared" si="41"/>
      </c>
      <c r="Z36" s="361">
        <f t="shared" si="42"/>
      </c>
      <c r="AA36" s="361">
        <f t="shared" si="43"/>
      </c>
      <c r="AB36" s="361">
        <f t="shared" si="44"/>
      </c>
      <c r="AC36" s="362"/>
      <c r="AD36" s="363">
        <f t="shared" si="61"/>
        <v>0</v>
      </c>
      <c r="AE36" s="364">
        <f t="shared" si="45"/>
      </c>
      <c r="AF36" s="365">
        <f t="shared" si="46"/>
      </c>
      <c r="AG36" s="366">
        <f t="shared" si="62"/>
      </c>
      <c r="AH36" s="367">
        <f t="shared" si="47"/>
      </c>
      <c r="AL36" s="343" t="s">
        <v>249</v>
      </c>
      <c r="AM36" s="346">
        <v>24</v>
      </c>
      <c r="AN36" s="347">
        <v>5</v>
      </c>
      <c r="AO36" s="347">
        <v>10</v>
      </c>
      <c r="AP36" s="347"/>
      <c r="AQ36" s="347"/>
      <c r="AR36" s="347">
        <v>10</v>
      </c>
      <c r="AS36" s="347"/>
      <c r="AT36" s="347">
        <v>1.6</v>
      </c>
      <c r="AU36" s="347"/>
      <c r="AV36" s="347"/>
      <c r="AW36" s="347">
        <v>0.3</v>
      </c>
      <c r="AX36" s="347"/>
      <c r="AY36" s="344">
        <v>22.5</v>
      </c>
      <c r="AZ36" s="392">
        <v>5400</v>
      </c>
    </row>
    <row r="37" spans="1:52" ht="13.5">
      <c r="A37" s="399"/>
      <c r="B37" s="359"/>
      <c r="C37" s="360">
        <f t="shared" si="48"/>
      </c>
      <c r="D37" s="360">
        <f t="shared" si="49"/>
      </c>
      <c r="E37" s="360">
        <f t="shared" si="50"/>
      </c>
      <c r="F37" s="360">
        <f t="shared" si="51"/>
      </c>
      <c r="G37" s="360">
        <f t="shared" si="52"/>
      </c>
      <c r="H37" s="360">
        <f t="shared" si="53"/>
      </c>
      <c r="I37" s="360">
        <f t="shared" si="54"/>
      </c>
      <c r="J37" s="360">
        <f t="shared" si="55"/>
      </c>
      <c r="K37" s="360">
        <f t="shared" si="56"/>
      </c>
      <c r="L37" s="360">
        <f t="shared" si="57"/>
      </c>
      <c r="M37" s="360">
        <f t="shared" si="58"/>
      </c>
      <c r="N37" s="360">
        <f t="shared" si="59"/>
      </c>
      <c r="O37" s="368">
        <f t="shared" si="60"/>
      </c>
      <c r="P37" s="402"/>
      <c r="Q37" s="361">
        <f t="shared" si="33"/>
      </c>
      <c r="R37" s="361">
        <f t="shared" si="34"/>
      </c>
      <c r="S37" s="361">
        <f t="shared" si="35"/>
      </c>
      <c r="T37" s="361">
        <f t="shared" si="36"/>
      </c>
      <c r="U37" s="361">
        <f t="shared" si="37"/>
      </c>
      <c r="V37" s="361">
        <f t="shared" si="38"/>
      </c>
      <c r="W37" s="361">
        <f t="shared" si="39"/>
      </c>
      <c r="X37" s="361">
        <f t="shared" si="40"/>
      </c>
      <c r="Y37" s="361">
        <f t="shared" si="41"/>
      </c>
      <c r="Z37" s="361">
        <f t="shared" si="42"/>
      </c>
      <c r="AA37" s="361">
        <f t="shared" si="43"/>
      </c>
      <c r="AB37" s="361">
        <f t="shared" si="44"/>
      </c>
      <c r="AC37" s="362"/>
      <c r="AD37" s="363">
        <f t="shared" si="61"/>
        <v>0</v>
      </c>
      <c r="AE37" s="364">
        <f t="shared" si="45"/>
      </c>
      <c r="AF37" s="365">
        <f t="shared" si="46"/>
      </c>
      <c r="AG37" s="366">
        <f t="shared" si="62"/>
      </c>
      <c r="AH37" s="367">
        <f t="shared" si="47"/>
      </c>
      <c r="AL37" s="343" t="s">
        <v>253</v>
      </c>
      <c r="AM37" s="346">
        <v>46</v>
      </c>
      <c r="AN37" s="347">
        <v>0</v>
      </c>
      <c r="AO37" s="347">
        <v>0</v>
      </c>
      <c r="AP37" s="347"/>
      <c r="AQ37" s="347"/>
      <c r="AR37" s="347"/>
      <c r="AS37" s="347"/>
      <c r="AT37" s="347"/>
      <c r="AU37" s="347"/>
      <c r="AV37" s="347"/>
      <c r="AW37" s="347"/>
      <c r="AX37" s="347"/>
      <c r="AY37" s="344">
        <v>22.5</v>
      </c>
      <c r="AZ37" s="392">
        <v>6800</v>
      </c>
    </row>
    <row r="38" spans="1:52" ht="13.5">
      <c r="A38" s="399"/>
      <c r="B38" s="359"/>
      <c r="C38" s="360">
        <f t="shared" si="48"/>
      </c>
      <c r="D38" s="360">
        <f t="shared" si="49"/>
      </c>
      <c r="E38" s="360">
        <f t="shared" si="50"/>
      </c>
      <c r="F38" s="360">
        <f t="shared" si="51"/>
      </c>
      <c r="G38" s="360">
        <f t="shared" si="52"/>
      </c>
      <c r="H38" s="360">
        <f t="shared" si="53"/>
      </c>
      <c r="I38" s="360">
        <f t="shared" si="54"/>
      </c>
      <c r="J38" s="360">
        <f t="shared" si="55"/>
      </c>
      <c r="K38" s="360">
        <f t="shared" si="56"/>
      </c>
      <c r="L38" s="360">
        <f t="shared" si="57"/>
      </c>
      <c r="M38" s="360">
        <f t="shared" si="58"/>
      </c>
      <c r="N38" s="360">
        <f t="shared" si="59"/>
      </c>
      <c r="O38" s="368">
        <f t="shared" si="60"/>
      </c>
      <c r="P38" s="402"/>
      <c r="Q38" s="361">
        <f t="shared" si="33"/>
      </c>
      <c r="R38" s="361">
        <f t="shared" si="34"/>
      </c>
      <c r="S38" s="361">
        <f t="shared" si="35"/>
      </c>
      <c r="T38" s="361">
        <f t="shared" si="36"/>
      </c>
      <c r="U38" s="361">
        <f t="shared" si="37"/>
      </c>
      <c r="V38" s="361">
        <f t="shared" si="38"/>
      </c>
      <c r="W38" s="361">
        <f t="shared" si="39"/>
      </c>
      <c r="X38" s="361">
        <f t="shared" si="40"/>
      </c>
      <c r="Y38" s="361">
        <f t="shared" si="41"/>
      </c>
      <c r="Z38" s="361">
        <f t="shared" si="42"/>
      </c>
      <c r="AA38" s="361">
        <f t="shared" si="43"/>
      </c>
      <c r="AB38" s="361">
        <f t="shared" si="44"/>
      </c>
      <c r="AC38" s="362"/>
      <c r="AD38" s="363">
        <f t="shared" si="61"/>
        <v>0</v>
      </c>
      <c r="AE38" s="364">
        <f t="shared" si="45"/>
      </c>
      <c r="AF38" s="365">
        <f t="shared" si="46"/>
      </c>
      <c r="AG38" s="366">
        <f t="shared" si="62"/>
      </c>
      <c r="AH38" s="367">
        <f t="shared" si="47"/>
      </c>
      <c r="AL38" s="343" t="s">
        <v>259</v>
      </c>
      <c r="AM38" s="346">
        <v>24</v>
      </c>
      <c r="AN38" s="347">
        <v>4</v>
      </c>
      <c r="AO38" s="347">
        <v>12</v>
      </c>
      <c r="AP38" s="347"/>
      <c r="AQ38" s="347"/>
      <c r="AR38" s="347">
        <v>10.4</v>
      </c>
      <c r="AS38" s="347"/>
      <c r="AT38" s="347">
        <v>1.6</v>
      </c>
      <c r="AU38" s="347"/>
      <c r="AV38" s="347"/>
      <c r="AW38" s="347">
        <v>0.3</v>
      </c>
      <c r="AX38" s="347"/>
      <c r="AY38" s="344">
        <v>22.5</v>
      </c>
      <c r="AZ38" s="392">
        <v>5400</v>
      </c>
    </row>
    <row r="39" spans="1:52" ht="13.5">
      <c r="A39" s="399"/>
      <c r="B39" s="359"/>
      <c r="C39" s="360">
        <f t="shared" si="48"/>
      </c>
      <c r="D39" s="360">
        <f t="shared" si="49"/>
      </c>
      <c r="E39" s="360">
        <f t="shared" si="50"/>
      </c>
      <c r="F39" s="360">
        <f t="shared" si="51"/>
      </c>
      <c r="G39" s="360">
        <f t="shared" si="52"/>
      </c>
      <c r="H39" s="360">
        <f t="shared" si="53"/>
      </c>
      <c r="I39" s="360">
        <f t="shared" si="54"/>
      </c>
      <c r="J39" s="360">
        <f t="shared" si="55"/>
      </c>
      <c r="K39" s="360">
        <f t="shared" si="56"/>
      </c>
      <c r="L39" s="360">
        <f t="shared" si="57"/>
      </c>
      <c r="M39" s="360">
        <f t="shared" si="58"/>
      </c>
      <c r="N39" s="360">
        <f t="shared" si="59"/>
      </c>
      <c r="O39" s="368">
        <f t="shared" si="60"/>
      </c>
      <c r="P39" s="402"/>
      <c r="Q39" s="361">
        <f t="shared" si="33"/>
      </c>
      <c r="R39" s="361">
        <f t="shared" si="34"/>
      </c>
      <c r="S39" s="361">
        <f t="shared" si="35"/>
      </c>
      <c r="T39" s="361">
        <f t="shared" si="36"/>
      </c>
      <c r="U39" s="361">
        <f t="shared" si="37"/>
      </c>
      <c r="V39" s="361">
        <f t="shared" si="38"/>
      </c>
      <c r="W39" s="361">
        <f t="shared" si="39"/>
      </c>
      <c r="X39" s="361">
        <f t="shared" si="40"/>
      </c>
      <c r="Y39" s="361">
        <f t="shared" si="41"/>
      </c>
      <c r="Z39" s="361">
        <f t="shared" si="42"/>
      </c>
      <c r="AA39" s="361">
        <f t="shared" si="43"/>
      </c>
      <c r="AB39" s="361">
        <f t="shared" si="44"/>
      </c>
      <c r="AC39" s="362"/>
      <c r="AD39" s="363">
        <f t="shared" si="61"/>
        <v>0</v>
      </c>
      <c r="AE39" s="364">
        <f t="shared" si="45"/>
      </c>
      <c r="AF39" s="365">
        <f t="shared" si="46"/>
      </c>
      <c r="AG39" s="366">
        <f t="shared" si="62"/>
      </c>
      <c r="AH39" s="367">
        <f t="shared" si="47"/>
      </c>
      <c r="AL39" s="343" t="s">
        <v>291</v>
      </c>
      <c r="AM39" s="398">
        <v>20</v>
      </c>
      <c r="AN39" s="398">
        <v>0</v>
      </c>
      <c r="AO39" s="398">
        <v>0</v>
      </c>
      <c r="AP39" s="398"/>
      <c r="AQ39" s="398">
        <v>1</v>
      </c>
      <c r="AR39" s="398"/>
      <c r="AS39" s="398"/>
      <c r="AT39" s="398">
        <v>6</v>
      </c>
      <c r="AU39" s="398"/>
      <c r="AV39" s="398"/>
      <c r="AW39" s="398"/>
      <c r="AX39" s="398"/>
      <c r="AY39" s="394">
        <v>20</v>
      </c>
      <c r="AZ39" s="395">
        <v>24000</v>
      </c>
    </row>
    <row r="40" spans="1:52" ht="13.5">
      <c r="A40" s="399"/>
      <c r="B40" s="359"/>
      <c r="C40" s="360">
        <f t="shared" si="48"/>
      </c>
      <c r="D40" s="360">
        <f t="shared" si="49"/>
      </c>
      <c r="E40" s="360">
        <f t="shared" si="50"/>
      </c>
      <c r="F40" s="360">
        <f t="shared" si="51"/>
      </c>
      <c r="G40" s="360">
        <f t="shared" si="52"/>
      </c>
      <c r="H40" s="360">
        <f t="shared" si="53"/>
      </c>
      <c r="I40" s="360">
        <f t="shared" si="54"/>
      </c>
      <c r="J40" s="360">
        <f t="shared" si="55"/>
      </c>
      <c r="K40" s="360">
        <f t="shared" si="56"/>
      </c>
      <c r="L40" s="360">
        <f t="shared" si="57"/>
      </c>
      <c r="M40" s="360">
        <f t="shared" si="58"/>
      </c>
      <c r="N40" s="360">
        <f t="shared" si="59"/>
      </c>
      <c r="O40" s="368">
        <f t="shared" si="60"/>
      </c>
      <c r="P40" s="402"/>
      <c r="Q40" s="361">
        <f t="shared" si="33"/>
      </c>
      <c r="R40" s="361">
        <f t="shared" si="34"/>
      </c>
      <c r="S40" s="361">
        <f t="shared" si="35"/>
      </c>
      <c r="T40" s="361">
        <f t="shared" si="36"/>
      </c>
      <c r="U40" s="361">
        <f t="shared" si="37"/>
      </c>
      <c r="V40" s="361">
        <f t="shared" si="38"/>
      </c>
      <c r="W40" s="361">
        <f t="shared" si="39"/>
      </c>
      <c r="X40" s="361">
        <f t="shared" si="40"/>
      </c>
      <c r="Y40" s="361">
        <f t="shared" si="41"/>
      </c>
      <c r="Z40" s="361">
        <f t="shared" si="42"/>
      </c>
      <c r="AA40" s="361">
        <f t="shared" si="43"/>
      </c>
      <c r="AB40" s="361">
        <f t="shared" si="44"/>
      </c>
      <c r="AC40" s="362"/>
      <c r="AD40" s="363">
        <f t="shared" si="61"/>
        <v>0</v>
      </c>
      <c r="AE40" s="364">
        <f t="shared" si="45"/>
      </c>
      <c r="AF40" s="365">
        <f t="shared" si="46"/>
      </c>
      <c r="AG40" s="366">
        <f t="shared" si="62"/>
      </c>
      <c r="AH40" s="367">
        <f t="shared" si="47"/>
      </c>
      <c r="AL40" s="343" t="s">
        <v>293</v>
      </c>
      <c r="AM40" s="398">
        <v>10</v>
      </c>
      <c r="AN40" s="398">
        <v>1</v>
      </c>
      <c r="AO40" s="398">
        <v>10</v>
      </c>
      <c r="AP40" s="398"/>
      <c r="AQ40" s="398"/>
      <c r="AR40" s="398"/>
      <c r="AS40" s="398"/>
      <c r="AT40" s="398">
        <v>0.5</v>
      </c>
      <c r="AU40" s="398"/>
      <c r="AV40" s="398"/>
      <c r="AW40" s="398"/>
      <c r="AX40" s="398"/>
      <c r="AY40" s="394">
        <v>20</v>
      </c>
      <c r="AZ40" s="395">
        <v>25000</v>
      </c>
    </row>
    <row r="41" spans="1:52" ht="13.5">
      <c r="A41" s="399"/>
      <c r="B41" s="359"/>
      <c r="C41" s="360">
        <f t="shared" si="48"/>
      </c>
      <c r="D41" s="360">
        <f t="shared" si="49"/>
      </c>
      <c r="E41" s="360">
        <f t="shared" si="50"/>
      </c>
      <c r="F41" s="360">
        <f t="shared" si="51"/>
      </c>
      <c r="G41" s="360">
        <f t="shared" si="52"/>
      </c>
      <c r="H41" s="360">
        <f t="shared" si="53"/>
      </c>
      <c r="I41" s="360">
        <f t="shared" si="54"/>
      </c>
      <c r="J41" s="360">
        <f t="shared" si="55"/>
      </c>
      <c r="K41" s="360">
        <f t="shared" si="56"/>
      </c>
      <c r="L41" s="360">
        <f t="shared" si="57"/>
      </c>
      <c r="M41" s="360">
        <f t="shared" si="58"/>
      </c>
      <c r="N41" s="360">
        <f t="shared" si="59"/>
      </c>
      <c r="O41" s="368">
        <f t="shared" si="60"/>
      </c>
      <c r="P41" s="402"/>
      <c r="Q41" s="361">
        <f t="shared" si="33"/>
      </c>
      <c r="R41" s="361">
        <f t="shared" si="34"/>
      </c>
      <c r="S41" s="361">
        <f t="shared" si="35"/>
      </c>
      <c r="T41" s="361">
        <f t="shared" si="36"/>
      </c>
      <c r="U41" s="361">
        <f t="shared" si="37"/>
      </c>
      <c r="V41" s="361">
        <f t="shared" si="38"/>
      </c>
      <c r="W41" s="361">
        <f t="shared" si="39"/>
      </c>
      <c r="X41" s="361">
        <f t="shared" si="40"/>
      </c>
      <c r="Y41" s="361">
        <f t="shared" si="41"/>
      </c>
      <c r="Z41" s="361">
        <f t="shared" si="42"/>
      </c>
      <c r="AA41" s="361">
        <f t="shared" si="43"/>
      </c>
      <c r="AB41" s="361">
        <f t="shared" si="44"/>
      </c>
      <c r="AC41" s="362"/>
      <c r="AD41" s="363">
        <f t="shared" si="61"/>
        <v>0</v>
      </c>
      <c r="AE41" s="364">
        <f t="shared" si="45"/>
      </c>
      <c r="AF41" s="365">
        <f t="shared" si="46"/>
      </c>
      <c r="AG41" s="366">
        <f t="shared" si="62"/>
      </c>
      <c r="AH41" s="367">
        <f t="shared" si="47"/>
      </c>
      <c r="AL41" s="343" t="s">
        <v>294</v>
      </c>
      <c r="AM41" s="398">
        <v>12</v>
      </c>
      <c r="AN41" s="398">
        <v>0</v>
      </c>
      <c r="AO41" s="398">
        <v>20</v>
      </c>
      <c r="AP41" s="398"/>
      <c r="AQ41" s="398"/>
      <c r="AR41" s="398"/>
      <c r="AS41" s="398"/>
      <c r="AT41" s="398">
        <v>0.5</v>
      </c>
      <c r="AU41" s="398"/>
      <c r="AV41" s="398"/>
      <c r="AW41" s="398"/>
      <c r="AX41" s="398"/>
      <c r="AY41" s="394">
        <v>20</v>
      </c>
      <c r="AZ41" s="395">
        <v>33000</v>
      </c>
    </row>
    <row r="42" spans="1:52" ht="13.5">
      <c r="A42" s="399"/>
      <c r="B42" s="359"/>
      <c r="C42" s="360">
        <f t="shared" si="48"/>
      </c>
      <c r="D42" s="360">
        <f t="shared" si="49"/>
      </c>
      <c r="E42" s="360">
        <f t="shared" si="50"/>
      </c>
      <c r="F42" s="360">
        <f t="shared" si="51"/>
      </c>
      <c r="G42" s="360">
        <f t="shared" si="52"/>
      </c>
      <c r="H42" s="360">
        <f t="shared" si="53"/>
      </c>
      <c r="I42" s="360">
        <f t="shared" si="54"/>
      </c>
      <c r="J42" s="360">
        <f t="shared" si="55"/>
      </c>
      <c r="K42" s="360">
        <f t="shared" si="56"/>
      </c>
      <c r="L42" s="360">
        <f t="shared" si="57"/>
      </c>
      <c r="M42" s="360">
        <f t="shared" si="58"/>
      </c>
      <c r="N42" s="360">
        <f t="shared" si="59"/>
      </c>
      <c r="O42" s="368">
        <f t="shared" si="60"/>
      </c>
      <c r="P42" s="402"/>
      <c r="Q42" s="361">
        <f t="shared" si="33"/>
      </c>
      <c r="R42" s="361">
        <f t="shared" si="34"/>
      </c>
      <c r="S42" s="361">
        <f t="shared" si="35"/>
      </c>
      <c r="T42" s="361">
        <f t="shared" si="36"/>
      </c>
      <c r="U42" s="361">
        <f t="shared" si="37"/>
      </c>
      <c r="V42" s="361">
        <f t="shared" si="38"/>
      </c>
      <c r="W42" s="361">
        <f t="shared" si="39"/>
      </c>
      <c r="X42" s="361">
        <f t="shared" si="40"/>
      </c>
      <c r="Y42" s="361">
        <f t="shared" si="41"/>
      </c>
      <c r="Z42" s="361">
        <f t="shared" si="42"/>
      </c>
      <c r="AA42" s="361">
        <f t="shared" si="43"/>
      </c>
      <c r="AB42" s="361">
        <f t="shared" si="44"/>
      </c>
      <c r="AC42" s="362"/>
      <c r="AD42" s="363">
        <f t="shared" si="61"/>
        <v>0</v>
      </c>
      <c r="AE42" s="364">
        <f t="shared" si="45"/>
      </c>
      <c r="AF42" s="365">
        <f t="shared" si="46"/>
      </c>
      <c r="AG42" s="366">
        <f t="shared" si="62"/>
      </c>
      <c r="AH42" s="367">
        <f t="shared" si="47"/>
      </c>
      <c r="AL42" s="343" t="s">
        <v>292</v>
      </c>
      <c r="AM42" s="398">
        <v>40</v>
      </c>
      <c r="AN42" s="398">
        <v>0</v>
      </c>
      <c r="AO42" s="398">
        <v>0</v>
      </c>
      <c r="AP42" s="398"/>
      <c r="AQ42" s="398"/>
      <c r="AR42" s="398"/>
      <c r="AS42" s="398"/>
      <c r="AT42" s="398"/>
      <c r="AU42" s="398"/>
      <c r="AV42" s="398"/>
      <c r="AW42" s="398"/>
      <c r="AX42" s="398"/>
      <c r="AY42" s="394">
        <v>20</v>
      </c>
      <c r="AZ42" s="395">
        <v>23000</v>
      </c>
    </row>
    <row r="43" spans="1:52" ht="13.5">
      <c r="A43" s="399"/>
      <c r="B43" s="359"/>
      <c r="C43" s="360">
        <f t="shared" si="48"/>
      </c>
      <c r="D43" s="360">
        <f t="shared" si="49"/>
      </c>
      <c r="E43" s="360">
        <f t="shared" si="50"/>
      </c>
      <c r="F43" s="360">
        <f t="shared" si="51"/>
      </c>
      <c r="G43" s="360">
        <f t="shared" si="52"/>
      </c>
      <c r="H43" s="360">
        <f t="shared" si="53"/>
      </c>
      <c r="I43" s="360">
        <f t="shared" si="54"/>
      </c>
      <c r="J43" s="360">
        <f t="shared" si="55"/>
      </c>
      <c r="K43" s="360">
        <f t="shared" si="56"/>
      </c>
      <c r="L43" s="360">
        <f t="shared" si="57"/>
      </c>
      <c r="M43" s="360">
        <f t="shared" si="58"/>
      </c>
      <c r="N43" s="360">
        <f t="shared" si="59"/>
      </c>
      <c r="O43" s="368">
        <f t="shared" si="60"/>
      </c>
      <c r="P43" s="402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2"/>
      <c r="AD43" s="363">
        <f t="shared" si="61"/>
        <v>0</v>
      </c>
      <c r="AE43" s="364"/>
      <c r="AF43" s="365"/>
      <c r="AG43" s="366">
        <f t="shared" si="62"/>
      </c>
      <c r="AH43" s="367"/>
      <c r="AL43" s="343" t="s">
        <v>303</v>
      </c>
      <c r="AM43" s="398">
        <v>12.5</v>
      </c>
      <c r="AN43" s="398">
        <v>12.5</v>
      </c>
      <c r="AO43" s="398">
        <v>12.5</v>
      </c>
      <c r="AP43" s="398"/>
      <c r="AQ43" s="398"/>
      <c r="AR43" s="398"/>
      <c r="AS43" s="398"/>
      <c r="AT43" s="398"/>
      <c r="AU43" s="398"/>
      <c r="AV43" s="398"/>
      <c r="AW43" s="398"/>
      <c r="AX43" s="398"/>
      <c r="AY43" s="394">
        <v>20</v>
      </c>
      <c r="AZ43" s="395">
        <v>25000</v>
      </c>
    </row>
    <row r="44" spans="1:52" ht="13.5">
      <c r="A44" s="399"/>
      <c r="B44" s="359"/>
      <c r="C44" s="360">
        <f t="shared" si="48"/>
      </c>
      <c r="D44" s="360">
        <f t="shared" si="49"/>
      </c>
      <c r="E44" s="360">
        <f t="shared" si="50"/>
      </c>
      <c r="F44" s="360">
        <f t="shared" si="51"/>
      </c>
      <c r="G44" s="360">
        <f t="shared" si="52"/>
      </c>
      <c r="H44" s="360">
        <f t="shared" si="53"/>
      </c>
      <c r="I44" s="360">
        <f t="shared" si="54"/>
      </c>
      <c r="J44" s="360">
        <f t="shared" si="55"/>
      </c>
      <c r="K44" s="360">
        <f t="shared" si="56"/>
      </c>
      <c r="L44" s="360">
        <f t="shared" si="57"/>
      </c>
      <c r="M44" s="360">
        <f t="shared" si="58"/>
      </c>
      <c r="N44" s="360">
        <f t="shared" si="59"/>
      </c>
      <c r="O44" s="368">
        <f t="shared" si="60"/>
      </c>
      <c r="P44" s="402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2"/>
      <c r="AD44" s="363">
        <f t="shared" si="61"/>
        <v>0</v>
      </c>
      <c r="AE44" s="364"/>
      <c r="AF44" s="365"/>
      <c r="AG44" s="366">
        <f t="shared" si="62"/>
      </c>
      <c r="AH44" s="367"/>
      <c r="AL44" s="343"/>
      <c r="AM44" s="346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4"/>
      <c r="AZ44" s="392"/>
    </row>
    <row r="45" spans="1:38" ht="13.5">
      <c r="A45" s="399"/>
      <c r="B45" s="359"/>
      <c r="C45" s="360">
        <f t="shared" si="48"/>
      </c>
      <c r="D45" s="360">
        <f t="shared" si="49"/>
      </c>
      <c r="E45" s="360">
        <f t="shared" si="50"/>
      </c>
      <c r="F45" s="360">
        <f t="shared" si="51"/>
      </c>
      <c r="G45" s="360">
        <f t="shared" si="52"/>
      </c>
      <c r="H45" s="360">
        <f t="shared" si="53"/>
      </c>
      <c r="I45" s="360">
        <f t="shared" si="54"/>
      </c>
      <c r="J45" s="360">
        <f t="shared" si="55"/>
      </c>
      <c r="K45" s="360">
        <f t="shared" si="56"/>
      </c>
      <c r="L45" s="360">
        <f t="shared" si="57"/>
      </c>
      <c r="M45" s="360">
        <f t="shared" si="58"/>
      </c>
      <c r="N45" s="360">
        <f t="shared" si="59"/>
      </c>
      <c r="O45" s="368">
        <f t="shared" si="60"/>
      </c>
      <c r="P45" s="402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2"/>
      <c r="AD45" s="363">
        <f t="shared" si="61"/>
        <v>0</v>
      </c>
      <c r="AE45" s="364"/>
      <c r="AF45" s="365"/>
      <c r="AG45" s="366">
        <f t="shared" si="62"/>
      </c>
      <c r="AH45" s="367"/>
      <c r="AL45" s="390"/>
    </row>
    <row r="46" spans="1:38" ht="13.5">
      <c r="A46" s="399"/>
      <c r="B46" s="359"/>
      <c r="C46" s="360">
        <f t="shared" si="48"/>
      </c>
      <c r="D46" s="360">
        <f t="shared" si="49"/>
      </c>
      <c r="E46" s="360">
        <f t="shared" si="50"/>
      </c>
      <c r="F46" s="360">
        <f t="shared" si="51"/>
      </c>
      <c r="G46" s="360">
        <f t="shared" si="52"/>
      </c>
      <c r="H46" s="360">
        <f t="shared" si="53"/>
      </c>
      <c r="I46" s="360">
        <f t="shared" si="54"/>
      </c>
      <c r="J46" s="360">
        <f t="shared" si="55"/>
      </c>
      <c r="K46" s="360">
        <f t="shared" si="56"/>
      </c>
      <c r="L46" s="360">
        <f t="shared" si="57"/>
      </c>
      <c r="M46" s="360">
        <f t="shared" si="58"/>
      </c>
      <c r="N46" s="360">
        <f t="shared" si="59"/>
      </c>
      <c r="O46" s="368">
        <f t="shared" si="60"/>
      </c>
      <c r="P46" s="402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2"/>
      <c r="AD46" s="363">
        <f t="shared" si="61"/>
        <v>0</v>
      </c>
      <c r="AE46" s="364"/>
      <c r="AF46" s="365"/>
      <c r="AG46" s="366">
        <f t="shared" si="62"/>
      </c>
      <c r="AH46" s="367"/>
      <c r="AL46" s="390"/>
    </row>
    <row r="47" spans="1:38" ht="13.5">
      <c r="A47" s="399"/>
      <c r="B47" s="359"/>
      <c r="C47" s="360">
        <f t="shared" si="48"/>
      </c>
      <c r="D47" s="360">
        <f t="shared" si="49"/>
      </c>
      <c r="E47" s="360">
        <f t="shared" si="50"/>
      </c>
      <c r="F47" s="360">
        <f t="shared" si="51"/>
      </c>
      <c r="G47" s="360">
        <f t="shared" si="52"/>
      </c>
      <c r="H47" s="360">
        <f t="shared" si="53"/>
      </c>
      <c r="I47" s="360">
        <f t="shared" si="54"/>
      </c>
      <c r="J47" s="360">
        <f t="shared" si="55"/>
      </c>
      <c r="K47" s="360">
        <f t="shared" si="56"/>
      </c>
      <c r="L47" s="360">
        <f t="shared" si="57"/>
      </c>
      <c r="M47" s="360">
        <f t="shared" si="58"/>
      </c>
      <c r="N47" s="360">
        <f t="shared" si="59"/>
      </c>
      <c r="O47" s="368">
        <f t="shared" si="60"/>
      </c>
      <c r="P47" s="402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2"/>
      <c r="AD47" s="363">
        <f t="shared" si="61"/>
        <v>0</v>
      </c>
      <c r="AE47" s="364"/>
      <c r="AF47" s="365"/>
      <c r="AG47" s="366">
        <f t="shared" si="62"/>
      </c>
      <c r="AH47" s="367"/>
      <c r="AL47" s="390"/>
    </row>
    <row r="48" spans="1:38" ht="13.5">
      <c r="A48" s="399"/>
      <c r="B48" s="359"/>
      <c r="C48" s="360">
        <f t="shared" si="48"/>
      </c>
      <c r="D48" s="360">
        <f t="shared" si="49"/>
      </c>
      <c r="E48" s="360">
        <f t="shared" si="50"/>
      </c>
      <c r="F48" s="360">
        <f t="shared" si="51"/>
      </c>
      <c r="G48" s="360">
        <f t="shared" si="52"/>
      </c>
      <c r="H48" s="360">
        <f t="shared" si="53"/>
      </c>
      <c r="I48" s="360">
        <f t="shared" si="54"/>
      </c>
      <c r="J48" s="360">
        <f t="shared" si="55"/>
      </c>
      <c r="K48" s="360">
        <f t="shared" si="56"/>
      </c>
      <c r="L48" s="360">
        <f t="shared" si="57"/>
      </c>
      <c r="M48" s="360">
        <f t="shared" si="58"/>
      </c>
      <c r="N48" s="360">
        <f t="shared" si="59"/>
      </c>
      <c r="O48" s="368">
        <f t="shared" si="60"/>
      </c>
      <c r="P48" s="402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2"/>
      <c r="AD48" s="363">
        <f t="shared" si="61"/>
        <v>0</v>
      </c>
      <c r="AE48" s="364"/>
      <c r="AF48" s="365"/>
      <c r="AG48" s="366">
        <f t="shared" si="62"/>
      </c>
      <c r="AH48" s="367"/>
      <c r="AL48" s="390"/>
    </row>
    <row r="49" spans="1:38" ht="13.5">
      <c r="A49" s="399"/>
      <c r="B49" s="359"/>
      <c r="C49" s="360">
        <f t="shared" si="48"/>
      </c>
      <c r="D49" s="360">
        <f t="shared" si="49"/>
      </c>
      <c r="E49" s="360">
        <f t="shared" si="50"/>
      </c>
      <c r="F49" s="360">
        <f t="shared" si="51"/>
      </c>
      <c r="G49" s="360">
        <f t="shared" si="52"/>
      </c>
      <c r="H49" s="360">
        <f t="shared" si="53"/>
      </c>
      <c r="I49" s="360">
        <f t="shared" si="54"/>
      </c>
      <c r="J49" s="360">
        <f t="shared" si="55"/>
      </c>
      <c r="K49" s="360">
        <f t="shared" si="56"/>
      </c>
      <c r="L49" s="360">
        <f t="shared" si="57"/>
      </c>
      <c r="M49" s="360">
        <f t="shared" si="58"/>
      </c>
      <c r="N49" s="360">
        <f t="shared" si="59"/>
      </c>
      <c r="O49" s="368">
        <f t="shared" si="60"/>
      </c>
      <c r="P49" s="402"/>
      <c r="Q49" s="361">
        <f t="shared" si="33"/>
      </c>
      <c r="R49" s="361">
        <f t="shared" si="34"/>
      </c>
      <c r="S49" s="361">
        <f t="shared" si="35"/>
      </c>
      <c r="T49" s="361">
        <f t="shared" si="36"/>
      </c>
      <c r="U49" s="361">
        <f t="shared" si="37"/>
      </c>
      <c r="V49" s="361">
        <f t="shared" si="38"/>
      </c>
      <c r="W49" s="361">
        <f t="shared" si="39"/>
      </c>
      <c r="X49" s="361">
        <f t="shared" si="40"/>
      </c>
      <c r="Y49" s="361">
        <f t="shared" si="41"/>
      </c>
      <c r="Z49" s="361">
        <f t="shared" si="42"/>
      </c>
      <c r="AA49" s="361">
        <f t="shared" si="43"/>
      </c>
      <c r="AB49" s="361">
        <f t="shared" si="44"/>
      </c>
      <c r="AC49" s="362"/>
      <c r="AD49" s="363">
        <f t="shared" si="61"/>
        <v>0</v>
      </c>
      <c r="AE49" s="364">
        <f t="shared" si="45"/>
      </c>
      <c r="AF49" s="365">
        <f t="shared" si="46"/>
      </c>
      <c r="AG49" s="366">
        <f t="shared" si="62"/>
      </c>
      <c r="AH49" s="367">
        <f t="shared" si="47"/>
      </c>
      <c r="AL49" s="377"/>
    </row>
    <row r="50" spans="1:38" ht="13.5">
      <c r="A50" s="399"/>
      <c r="B50" s="359"/>
      <c r="C50" s="360">
        <f t="shared" si="48"/>
      </c>
      <c r="D50" s="360">
        <f t="shared" si="49"/>
      </c>
      <c r="E50" s="360">
        <f t="shared" si="50"/>
      </c>
      <c r="F50" s="360">
        <f t="shared" si="51"/>
      </c>
      <c r="G50" s="360">
        <f t="shared" si="52"/>
      </c>
      <c r="H50" s="360">
        <f t="shared" si="53"/>
      </c>
      <c r="I50" s="360">
        <f t="shared" si="54"/>
      </c>
      <c r="J50" s="360">
        <f t="shared" si="55"/>
      </c>
      <c r="K50" s="360">
        <f t="shared" si="56"/>
      </c>
      <c r="L50" s="360">
        <f t="shared" si="57"/>
      </c>
      <c r="M50" s="360">
        <f t="shared" si="58"/>
      </c>
      <c r="N50" s="360">
        <f t="shared" si="59"/>
      </c>
      <c r="O50" s="368">
        <f t="shared" si="60"/>
      </c>
      <c r="P50" s="402"/>
      <c r="Q50" s="361">
        <f t="shared" si="33"/>
      </c>
      <c r="R50" s="361">
        <f t="shared" si="34"/>
      </c>
      <c r="S50" s="361">
        <f t="shared" si="35"/>
      </c>
      <c r="T50" s="361">
        <f t="shared" si="36"/>
      </c>
      <c r="U50" s="361">
        <f t="shared" si="37"/>
      </c>
      <c r="V50" s="361">
        <f t="shared" si="38"/>
      </c>
      <c r="W50" s="361">
        <f t="shared" si="39"/>
      </c>
      <c r="X50" s="361">
        <f t="shared" si="40"/>
      </c>
      <c r="Y50" s="361">
        <f t="shared" si="41"/>
      </c>
      <c r="Z50" s="361">
        <f t="shared" si="42"/>
      </c>
      <c r="AA50" s="361">
        <f t="shared" si="43"/>
      </c>
      <c r="AB50" s="361">
        <f t="shared" si="44"/>
      </c>
      <c r="AC50" s="362"/>
      <c r="AD50" s="363">
        <f t="shared" si="61"/>
        <v>0</v>
      </c>
      <c r="AE50" s="364">
        <f t="shared" si="45"/>
      </c>
      <c r="AF50" s="365">
        <f t="shared" si="46"/>
      </c>
      <c r="AG50" s="366">
        <f t="shared" si="62"/>
      </c>
      <c r="AH50" s="367">
        <f t="shared" si="47"/>
      </c>
      <c r="AL50" s="380" t="s">
        <v>278</v>
      </c>
    </row>
    <row r="51" spans="1:38" ht="13.5">
      <c r="A51" s="399"/>
      <c r="B51" s="359"/>
      <c r="C51" s="360">
        <f t="shared" si="48"/>
      </c>
      <c r="D51" s="360">
        <f t="shared" si="49"/>
      </c>
      <c r="E51" s="360">
        <f t="shared" si="50"/>
      </c>
      <c r="F51" s="360">
        <f t="shared" si="51"/>
      </c>
      <c r="G51" s="360">
        <f t="shared" si="52"/>
      </c>
      <c r="H51" s="360">
        <f t="shared" si="53"/>
      </c>
      <c r="I51" s="360">
        <f t="shared" si="54"/>
      </c>
      <c r="J51" s="360">
        <f t="shared" si="55"/>
      </c>
      <c r="K51" s="360">
        <f t="shared" si="56"/>
      </c>
      <c r="L51" s="360">
        <f t="shared" si="57"/>
      </c>
      <c r="M51" s="360">
        <f t="shared" si="58"/>
      </c>
      <c r="N51" s="360">
        <f t="shared" si="59"/>
      </c>
      <c r="O51" s="368">
        <f t="shared" si="60"/>
      </c>
      <c r="P51" s="402"/>
      <c r="Q51" s="361">
        <f t="shared" si="33"/>
      </c>
      <c r="R51" s="361">
        <f t="shared" si="34"/>
      </c>
      <c r="S51" s="361">
        <f t="shared" si="35"/>
      </c>
      <c r="T51" s="361">
        <f t="shared" si="36"/>
      </c>
      <c r="U51" s="361">
        <f t="shared" si="37"/>
      </c>
      <c r="V51" s="361">
        <f t="shared" si="38"/>
      </c>
      <c r="W51" s="361">
        <f t="shared" si="39"/>
      </c>
      <c r="X51" s="361">
        <f t="shared" si="40"/>
      </c>
      <c r="Y51" s="361">
        <f t="shared" si="41"/>
      </c>
      <c r="Z51" s="361">
        <f t="shared" si="42"/>
      </c>
      <c r="AA51" s="361">
        <f t="shared" si="43"/>
      </c>
      <c r="AB51" s="361">
        <f t="shared" si="44"/>
      </c>
      <c r="AC51" s="362"/>
      <c r="AD51" s="363">
        <f t="shared" si="61"/>
        <v>0</v>
      </c>
      <c r="AE51" s="364">
        <f t="shared" si="45"/>
      </c>
      <c r="AF51" s="365">
        <f t="shared" si="46"/>
      </c>
      <c r="AG51" s="366">
        <f t="shared" si="62"/>
      </c>
      <c r="AH51" s="367">
        <f t="shared" si="47"/>
      </c>
      <c r="AL51" s="380" t="s">
        <v>202</v>
      </c>
    </row>
    <row r="52" spans="1:38" ht="13.5">
      <c r="A52" s="399"/>
      <c r="B52" s="359"/>
      <c r="C52" s="360">
        <f t="shared" si="48"/>
      </c>
      <c r="D52" s="360">
        <f t="shared" si="49"/>
      </c>
      <c r="E52" s="360">
        <f t="shared" si="50"/>
      </c>
      <c r="F52" s="360">
        <f t="shared" si="51"/>
      </c>
      <c r="G52" s="360">
        <f t="shared" si="52"/>
      </c>
      <c r="H52" s="360">
        <f t="shared" si="53"/>
      </c>
      <c r="I52" s="360">
        <f t="shared" si="54"/>
      </c>
      <c r="J52" s="360">
        <f t="shared" si="55"/>
      </c>
      <c r="K52" s="360">
        <f t="shared" si="56"/>
      </c>
      <c r="L52" s="360">
        <f t="shared" si="57"/>
      </c>
      <c r="M52" s="360">
        <f t="shared" si="58"/>
      </c>
      <c r="N52" s="360">
        <f t="shared" si="59"/>
      </c>
      <c r="O52" s="368">
        <f t="shared" si="60"/>
      </c>
      <c r="P52" s="402"/>
      <c r="Q52" s="361">
        <f t="shared" si="33"/>
      </c>
      <c r="R52" s="361">
        <f t="shared" si="34"/>
      </c>
      <c r="S52" s="361">
        <f t="shared" si="35"/>
      </c>
      <c r="T52" s="361">
        <f t="shared" si="36"/>
      </c>
      <c r="U52" s="361">
        <f t="shared" si="37"/>
      </c>
      <c r="V52" s="361">
        <f t="shared" si="38"/>
      </c>
      <c r="W52" s="361">
        <f t="shared" si="39"/>
      </c>
      <c r="X52" s="361">
        <f t="shared" si="40"/>
      </c>
      <c r="Y52" s="361">
        <f t="shared" si="41"/>
      </c>
      <c r="Z52" s="361">
        <f t="shared" si="42"/>
      </c>
      <c r="AA52" s="361">
        <f t="shared" si="43"/>
      </c>
      <c r="AB52" s="361">
        <f t="shared" si="44"/>
      </c>
      <c r="AC52" s="362"/>
      <c r="AD52" s="363">
        <f t="shared" si="61"/>
        <v>0</v>
      </c>
      <c r="AE52" s="364">
        <f t="shared" si="45"/>
      </c>
      <c r="AF52" s="365">
        <f t="shared" si="46"/>
      </c>
      <c r="AG52" s="366">
        <f t="shared" si="62"/>
      </c>
      <c r="AH52" s="367">
        <f t="shared" si="47"/>
      </c>
      <c r="AL52" s="380" t="s">
        <v>205</v>
      </c>
    </row>
    <row r="53" spans="1:38" ht="13.5">
      <c r="A53" s="399"/>
      <c r="B53" s="359"/>
      <c r="C53" s="360">
        <f t="shared" si="48"/>
      </c>
      <c r="D53" s="360">
        <f t="shared" si="49"/>
      </c>
      <c r="E53" s="360">
        <f t="shared" si="50"/>
      </c>
      <c r="F53" s="360">
        <f t="shared" si="51"/>
      </c>
      <c r="G53" s="360">
        <f t="shared" si="52"/>
      </c>
      <c r="H53" s="360">
        <f t="shared" si="53"/>
      </c>
      <c r="I53" s="360">
        <f t="shared" si="54"/>
      </c>
      <c r="J53" s="360">
        <f t="shared" si="55"/>
      </c>
      <c r="K53" s="360">
        <f t="shared" si="56"/>
      </c>
      <c r="L53" s="360">
        <f t="shared" si="57"/>
      </c>
      <c r="M53" s="360">
        <f t="shared" si="58"/>
      </c>
      <c r="N53" s="360">
        <f t="shared" si="59"/>
      </c>
      <c r="O53" s="368">
        <f t="shared" si="60"/>
      </c>
      <c r="P53" s="402"/>
      <c r="Q53" s="361">
        <f t="shared" si="33"/>
      </c>
      <c r="R53" s="361">
        <f t="shared" si="34"/>
      </c>
      <c r="S53" s="361">
        <f t="shared" si="35"/>
      </c>
      <c r="T53" s="361">
        <f t="shared" si="36"/>
      </c>
      <c r="U53" s="361">
        <f t="shared" si="37"/>
      </c>
      <c r="V53" s="361">
        <f t="shared" si="38"/>
      </c>
      <c r="W53" s="361">
        <f t="shared" si="39"/>
      </c>
      <c r="X53" s="361">
        <f t="shared" si="40"/>
      </c>
      <c r="Y53" s="361">
        <f t="shared" si="41"/>
      </c>
      <c r="Z53" s="361">
        <f t="shared" si="42"/>
      </c>
      <c r="AA53" s="361">
        <f t="shared" si="43"/>
      </c>
      <c r="AB53" s="361">
        <f t="shared" si="44"/>
      </c>
      <c r="AC53" s="362"/>
      <c r="AD53" s="363">
        <f t="shared" si="61"/>
        <v>0</v>
      </c>
      <c r="AE53" s="364">
        <f t="shared" si="45"/>
      </c>
      <c r="AF53" s="365">
        <f t="shared" si="46"/>
      </c>
      <c r="AG53" s="366">
        <f t="shared" si="62"/>
      </c>
      <c r="AH53" s="367">
        <f t="shared" si="47"/>
      </c>
      <c r="AL53" s="380" t="s">
        <v>199</v>
      </c>
    </row>
    <row r="54" spans="1:38" ht="13.5">
      <c r="A54" s="399"/>
      <c r="B54" s="359"/>
      <c r="C54" s="360">
        <f t="shared" si="48"/>
      </c>
      <c r="D54" s="360">
        <f t="shared" si="49"/>
      </c>
      <c r="E54" s="360">
        <f t="shared" si="50"/>
      </c>
      <c r="F54" s="360">
        <f t="shared" si="51"/>
      </c>
      <c r="G54" s="360">
        <f t="shared" si="52"/>
      </c>
      <c r="H54" s="360">
        <f t="shared" si="53"/>
      </c>
      <c r="I54" s="360">
        <f t="shared" si="54"/>
      </c>
      <c r="J54" s="360">
        <f t="shared" si="55"/>
      </c>
      <c r="K54" s="360">
        <f t="shared" si="56"/>
      </c>
      <c r="L54" s="360">
        <f t="shared" si="57"/>
      </c>
      <c r="M54" s="360">
        <f t="shared" si="58"/>
      </c>
      <c r="N54" s="360">
        <f t="shared" si="59"/>
      </c>
      <c r="O54" s="368">
        <f t="shared" si="60"/>
      </c>
      <c r="P54" s="402"/>
      <c r="Q54" s="361">
        <f t="shared" si="33"/>
      </c>
      <c r="R54" s="361">
        <f t="shared" si="34"/>
      </c>
      <c r="S54" s="361">
        <f t="shared" si="35"/>
      </c>
      <c r="T54" s="361">
        <f t="shared" si="36"/>
      </c>
      <c r="U54" s="361">
        <f t="shared" si="37"/>
      </c>
      <c r="V54" s="361">
        <f t="shared" si="38"/>
      </c>
      <c r="W54" s="361">
        <f t="shared" si="39"/>
      </c>
      <c r="X54" s="361">
        <f t="shared" si="40"/>
      </c>
      <c r="Y54" s="361">
        <f t="shared" si="41"/>
      </c>
      <c r="Z54" s="361">
        <f t="shared" si="42"/>
      </c>
      <c r="AA54" s="361">
        <f t="shared" si="43"/>
      </c>
      <c r="AB54" s="361">
        <f t="shared" si="44"/>
      </c>
      <c r="AC54" s="362"/>
      <c r="AD54" s="363">
        <f t="shared" si="61"/>
        <v>0</v>
      </c>
      <c r="AE54" s="364">
        <f t="shared" si="45"/>
      </c>
      <c r="AF54" s="365">
        <f t="shared" si="46"/>
      </c>
      <c r="AG54" s="369">
        <f>IF($B54="","",VLOOKUP($B54,$AL$7:$AZ$39,15))</f>
      </c>
      <c r="AH54" s="367">
        <f t="shared" si="47"/>
      </c>
      <c r="AL54" s="380" t="s">
        <v>206</v>
      </c>
    </row>
    <row r="55" spans="29:38" ht="13.5">
      <c r="AC55" s="370"/>
      <c r="AL55" s="380" t="s">
        <v>204</v>
      </c>
    </row>
    <row r="56" spans="15:38" ht="14.25" thickBot="1">
      <c r="O56" s="349" t="s">
        <v>269</v>
      </c>
      <c r="Q56" s="371">
        <f aca="true" t="shared" si="63" ref="Q56:AB56">SUM(Q34:Q54)</f>
        <v>0</v>
      </c>
      <c r="R56" s="371">
        <f t="shared" si="63"/>
        <v>0</v>
      </c>
      <c r="S56" s="371">
        <f t="shared" si="63"/>
        <v>0</v>
      </c>
      <c r="T56" s="371">
        <f t="shared" si="63"/>
        <v>0</v>
      </c>
      <c r="U56" s="371">
        <f t="shared" si="63"/>
        <v>0</v>
      </c>
      <c r="V56" s="371">
        <f t="shared" si="63"/>
        <v>0</v>
      </c>
      <c r="W56" s="371">
        <f t="shared" si="63"/>
        <v>0</v>
      </c>
      <c r="X56" s="371">
        <f t="shared" si="63"/>
        <v>0</v>
      </c>
      <c r="Y56" s="371">
        <f t="shared" si="63"/>
        <v>0</v>
      </c>
      <c r="Z56" s="371">
        <f t="shared" si="63"/>
        <v>0</v>
      </c>
      <c r="AA56" s="371">
        <f t="shared" si="63"/>
        <v>0</v>
      </c>
      <c r="AB56" s="371">
        <f t="shared" si="63"/>
        <v>0</v>
      </c>
      <c r="AD56" s="372">
        <f>SUM(AD34:AD54)</f>
        <v>0</v>
      </c>
      <c r="AE56" s="373">
        <f>SUM(AE34:AE54)</f>
        <v>0</v>
      </c>
      <c r="AF56" s="373">
        <f>SUM(AF34:AF54)</f>
        <v>0</v>
      </c>
      <c r="AG56" s="358"/>
      <c r="AH56" s="374">
        <f>SUM(AH34:AH54)</f>
        <v>0</v>
      </c>
      <c r="AL56" s="380" t="s">
        <v>203</v>
      </c>
    </row>
    <row r="57" spans="15:38" ht="14.25" thickTop="1">
      <c r="O57" s="349" t="s">
        <v>270</v>
      </c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L57" s="380" t="s">
        <v>200</v>
      </c>
    </row>
    <row r="58" spans="15:38" ht="13.5">
      <c r="O58" s="375"/>
      <c r="P58" s="370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L58" s="380" t="s">
        <v>209</v>
      </c>
    </row>
    <row r="59" spans="15:38" ht="13.5">
      <c r="O59" s="349" t="s">
        <v>271</v>
      </c>
      <c r="Q59" s="378">
        <f aca="true" t="shared" si="64" ref="Q59:AB59">SUM(Q56-Q57)</f>
        <v>0</v>
      </c>
      <c r="R59" s="378">
        <f t="shared" si="64"/>
        <v>0</v>
      </c>
      <c r="S59" s="378">
        <f t="shared" si="64"/>
        <v>0</v>
      </c>
      <c r="T59" s="378">
        <f t="shared" si="64"/>
        <v>0</v>
      </c>
      <c r="U59" s="378">
        <f t="shared" si="64"/>
        <v>0</v>
      </c>
      <c r="V59" s="378">
        <f t="shared" si="64"/>
        <v>0</v>
      </c>
      <c r="W59" s="378">
        <f t="shared" si="64"/>
        <v>0</v>
      </c>
      <c r="X59" s="378">
        <f t="shared" si="64"/>
        <v>0</v>
      </c>
      <c r="Y59" s="378">
        <f t="shared" si="64"/>
        <v>0</v>
      </c>
      <c r="Z59" s="378">
        <f t="shared" si="64"/>
        <v>0</v>
      </c>
      <c r="AA59" s="378">
        <f t="shared" si="64"/>
        <v>0</v>
      </c>
      <c r="AB59" s="378">
        <f t="shared" si="64"/>
        <v>0</v>
      </c>
      <c r="AF59" s="349" t="s">
        <v>273</v>
      </c>
      <c r="AH59" s="379"/>
      <c r="AL59" s="380" t="s">
        <v>208</v>
      </c>
    </row>
    <row r="60" spans="15:38" ht="13.5">
      <c r="O60" s="349"/>
      <c r="AF60" s="349" t="s">
        <v>274</v>
      </c>
      <c r="AH60" s="379">
        <f>SUM(AH56-AH59)</f>
        <v>0</v>
      </c>
      <c r="AL60" s="380" t="s">
        <v>207</v>
      </c>
    </row>
    <row r="61" spans="15:38" ht="13.5">
      <c r="O61" s="349" t="s">
        <v>272</v>
      </c>
      <c r="Q61" s="357" t="str">
        <f aca="true" t="shared" si="65" ref="Q61:AB61">IF(Q59&lt;0,"^","OK")</f>
        <v>OK</v>
      </c>
      <c r="R61" s="357" t="str">
        <f t="shared" si="65"/>
        <v>OK</v>
      </c>
      <c r="S61" s="357" t="str">
        <f t="shared" si="65"/>
        <v>OK</v>
      </c>
      <c r="T61" s="357" t="str">
        <f t="shared" si="65"/>
        <v>OK</v>
      </c>
      <c r="U61" s="357" t="str">
        <f t="shared" si="65"/>
        <v>OK</v>
      </c>
      <c r="V61" s="357" t="str">
        <f t="shared" si="65"/>
        <v>OK</v>
      </c>
      <c r="W61" s="357" t="str">
        <f t="shared" si="65"/>
        <v>OK</v>
      </c>
      <c r="X61" s="357" t="str">
        <f t="shared" si="65"/>
        <v>OK</v>
      </c>
      <c r="Y61" s="357" t="str">
        <f t="shared" si="65"/>
        <v>OK</v>
      </c>
      <c r="Z61" s="357" t="str">
        <f t="shared" si="65"/>
        <v>OK</v>
      </c>
      <c r="AA61" s="357" t="str">
        <f t="shared" si="65"/>
        <v>OK</v>
      </c>
      <c r="AB61" s="357" t="str">
        <f t="shared" si="65"/>
        <v>OK</v>
      </c>
      <c r="AL61" s="380" t="s">
        <v>201</v>
      </c>
    </row>
    <row r="62" ht="13.5">
      <c r="AL62" s="377"/>
    </row>
    <row r="63" ht="12.75" thickBot="1">
      <c r="B63" s="349" t="s">
        <v>276</v>
      </c>
    </row>
    <row r="64" spans="2:3" ht="12.75" thickBot="1">
      <c r="B64" s="400"/>
      <c r="C64" s="350" t="s">
        <v>261</v>
      </c>
    </row>
    <row r="65" spans="3:34" ht="12">
      <c r="C65" s="409" t="s">
        <v>264</v>
      </c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1"/>
      <c r="O65" s="351"/>
      <c r="P65" s="352"/>
      <c r="Q65" s="412" t="s">
        <v>280</v>
      </c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4"/>
      <c r="AC65" s="353"/>
      <c r="AD65" s="354"/>
      <c r="AE65" s="355"/>
      <c r="AF65" s="351"/>
      <c r="AG65" s="356"/>
      <c r="AH65" s="351"/>
    </row>
    <row r="66" spans="1:34" ht="24">
      <c r="A66" s="381" t="s">
        <v>262</v>
      </c>
      <c r="B66" s="381" t="s">
        <v>263</v>
      </c>
      <c r="C66" s="382" t="s">
        <v>140</v>
      </c>
      <c r="D66" s="383" t="s">
        <v>243</v>
      </c>
      <c r="E66" s="383" t="s">
        <v>244</v>
      </c>
      <c r="F66" s="382" t="s">
        <v>32</v>
      </c>
      <c r="G66" s="382" t="s">
        <v>35</v>
      </c>
      <c r="H66" s="382" t="s">
        <v>165</v>
      </c>
      <c r="I66" s="382" t="s">
        <v>142</v>
      </c>
      <c r="J66" s="382" t="s">
        <v>43</v>
      </c>
      <c r="K66" s="382" t="s">
        <v>46</v>
      </c>
      <c r="L66" s="382" t="s">
        <v>49</v>
      </c>
      <c r="M66" s="382" t="s">
        <v>52</v>
      </c>
      <c r="N66" s="382" t="s">
        <v>295</v>
      </c>
      <c r="O66" s="381" t="s">
        <v>265</v>
      </c>
      <c r="P66" s="381" t="s">
        <v>279</v>
      </c>
      <c r="Q66" s="382" t="s">
        <v>140</v>
      </c>
      <c r="R66" s="382" t="s">
        <v>141</v>
      </c>
      <c r="S66" s="382" t="s">
        <v>38</v>
      </c>
      <c r="T66" s="382" t="s">
        <v>32</v>
      </c>
      <c r="U66" s="382" t="s">
        <v>35</v>
      </c>
      <c r="V66" s="382" t="s">
        <v>165</v>
      </c>
      <c r="W66" s="382" t="s">
        <v>142</v>
      </c>
      <c r="X66" s="382" t="s">
        <v>43</v>
      </c>
      <c r="Y66" s="382" t="s">
        <v>46</v>
      </c>
      <c r="Z66" s="382" t="s">
        <v>49</v>
      </c>
      <c r="AA66" s="382" t="s">
        <v>52</v>
      </c>
      <c r="AB66" s="382" t="s">
        <v>295</v>
      </c>
      <c r="AC66" s="384"/>
      <c r="AD66" s="385" t="s">
        <v>281</v>
      </c>
      <c r="AE66" s="381" t="s">
        <v>166</v>
      </c>
      <c r="AF66" s="381" t="s">
        <v>266</v>
      </c>
      <c r="AG66" s="381" t="s">
        <v>267</v>
      </c>
      <c r="AH66" s="381" t="s">
        <v>268</v>
      </c>
    </row>
    <row r="67" spans="1:34" ht="14.25" customHeight="1">
      <c r="A67" s="399"/>
      <c r="B67" s="359"/>
      <c r="C67" s="360">
        <f aca="true" t="shared" si="66" ref="C67:C81">IF($B67="","",VLOOKUP($B67,$AL$7:$AZ$44,2))</f>
      </c>
      <c r="D67" s="360">
        <f aca="true" t="shared" si="67" ref="D67:D81">IF($B67="","",VLOOKUP($B67,$AL$7:$AZ$44,3))</f>
      </c>
      <c r="E67" s="360">
        <f aca="true" t="shared" si="68" ref="E67:E81">IF($B67="","",VLOOKUP($B67,$AL$7:$AZ$44,4))</f>
      </c>
      <c r="F67" s="360">
        <f aca="true" t="shared" si="69" ref="F67:F81">IF($B67="","",VLOOKUP($B67,$AL$7:$AZ$44,5))</f>
      </c>
      <c r="G67" s="360">
        <f aca="true" t="shared" si="70" ref="G67:G81">IF($B67="","",VLOOKUP($B67,$AL$7:$AZ$44,6))</f>
      </c>
      <c r="H67" s="360">
        <f aca="true" t="shared" si="71" ref="H67:H81">IF($B67="","",VLOOKUP($B67,$AL$7:$AZ$44,7))</f>
      </c>
      <c r="I67" s="360">
        <f aca="true" t="shared" si="72" ref="I67:I81">IF($B67="","",VLOOKUP($B67,$AL$7:$AZ$44,8))</f>
      </c>
      <c r="J67" s="360">
        <f aca="true" t="shared" si="73" ref="J67:J81">IF($B67="","",VLOOKUP($B67,$AL$7:$AZ$44,9))</f>
      </c>
      <c r="K67" s="360">
        <f aca="true" t="shared" si="74" ref="K67:K81">IF($B67="","",VLOOKUP($B67,$AL$7:$AZ$44,10))</f>
      </c>
      <c r="L67" s="360">
        <f aca="true" t="shared" si="75" ref="L67:L81">IF($B67="","",VLOOKUP($B67,$AL$7:$AZ$44,11))</f>
      </c>
      <c r="M67" s="360">
        <f aca="true" t="shared" si="76" ref="M67:M81">IF($B67="","",VLOOKUP($B67,$AL$7:$AZ$44,12))</f>
      </c>
      <c r="N67" s="360">
        <f aca="true" t="shared" si="77" ref="N67:N81">IF($B67="","",VLOOKUP($B67,$AL$7:$AZ$44,13))</f>
      </c>
      <c r="O67" s="368">
        <f aca="true" t="shared" si="78" ref="O67:O81">IF($B67="","",VLOOKUP($B67,$AL$7:$AZ$44,14))</f>
      </c>
      <c r="P67" s="401"/>
      <c r="Q67" s="361">
        <f aca="true" t="shared" si="79" ref="Q67:Q81">IF(P67="","",PRODUCT(P67,(C67/100)))</f>
      </c>
      <c r="R67" s="361">
        <f aca="true" t="shared" si="80" ref="R67:R81">IF(P67="","",PRODUCT(P67,(D67/100))*0.45)</f>
      </c>
      <c r="S67" s="361">
        <f aca="true" t="shared" si="81" ref="S67:S81">IF(P67="","",PRODUCT(P67,(E67/100))*0.83)</f>
      </c>
      <c r="T67" s="361">
        <f aca="true" t="shared" si="82" ref="T67:T81">IF(P67="","",PRODUCT(P67,(F67/100)))</f>
      </c>
      <c r="U67" s="361">
        <f aca="true" t="shared" si="83" ref="U67:U81">IF(P67="","",PRODUCT(P67,(G67/100)))</f>
      </c>
      <c r="V67" s="361">
        <f aca="true" t="shared" si="84" ref="V67:V81">IF(P67="","",PRODUCT(P67,(H67/100)))</f>
      </c>
      <c r="W67" s="361">
        <f aca="true" t="shared" si="85" ref="W67:W81">IF(P67="","",PRODUCT(P67,(I67/100)))</f>
      </c>
      <c r="X67" s="361">
        <f aca="true" t="shared" si="86" ref="X67:X81">IF(P67="","",PRODUCT(P67,(J67/100)))</f>
      </c>
      <c r="Y67" s="361">
        <f aca="true" t="shared" si="87" ref="Y67:Y81">IF(P67="","",PRODUCT(P67,(K67/100)))</f>
      </c>
      <c r="Z67" s="361">
        <f aca="true" t="shared" si="88" ref="Z67:Z81">IF(P67="","",PRODUCT(P67,(L67/100)))</f>
      </c>
      <c r="AA67" s="361">
        <f aca="true" t="shared" si="89" ref="AA67:AA81">IF(P67="","",PRODUCT(P67,(M67/100)))</f>
      </c>
      <c r="AB67" s="361">
        <f aca="true" t="shared" si="90" ref="AB67:AB81">IF(P67="","",PRODUCT(P67,(N67/100)))</f>
      </c>
      <c r="AC67" s="362"/>
      <c r="AD67" s="363">
        <f>SUM($B$64*P67)/1000</f>
        <v>0</v>
      </c>
      <c r="AE67" s="364">
        <f aca="true" t="shared" si="91" ref="AE67:AE81">IF(B67="","",AD67/O67)</f>
      </c>
      <c r="AF67" s="365">
        <f aca="true" t="shared" si="92" ref="AF67:AF81">IF(B67="","",ROUNDUP(AE67,0))</f>
      </c>
      <c r="AG67" s="366">
        <f aca="true" t="shared" si="93" ref="AG67:AG81">IF($B67="","",VLOOKUP($B67,$AL$7:$AZ$44,15))</f>
      </c>
      <c r="AH67" s="367">
        <f aca="true" t="shared" si="94" ref="AH67:AH81">IF(B67="","",SUM(AG67*AF67))</f>
      </c>
    </row>
    <row r="68" spans="1:34" ht="14.25" customHeight="1">
      <c r="A68" s="399"/>
      <c r="B68" s="359"/>
      <c r="C68" s="360">
        <f t="shared" si="66"/>
      </c>
      <c r="D68" s="360">
        <f t="shared" si="67"/>
      </c>
      <c r="E68" s="360">
        <f t="shared" si="68"/>
      </c>
      <c r="F68" s="360">
        <f t="shared" si="69"/>
      </c>
      <c r="G68" s="360">
        <f t="shared" si="70"/>
      </c>
      <c r="H68" s="360">
        <f t="shared" si="71"/>
      </c>
      <c r="I68" s="360">
        <f t="shared" si="72"/>
      </c>
      <c r="J68" s="360">
        <f t="shared" si="73"/>
      </c>
      <c r="K68" s="360">
        <f t="shared" si="74"/>
      </c>
      <c r="L68" s="360">
        <f t="shared" si="75"/>
      </c>
      <c r="M68" s="360">
        <f t="shared" si="76"/>
      </c>
      <c r="N68" s="360">
        <f t="shared" si="77"/>
      </c>
      <c r="O68" s="368">
        <f t="shared" si="78"/>
      </c>
      <c r="P68" s="402"/>
      <c r="Q68" s="361">
        <f t="shared" si="79"/>
      </c>
      <c r="R68" s="361">
        <f t="shared" si="80"/>
      </c>
      <c r="S68" s="361">
        <f t="shared" si="81"/>
      </c>
      <c r="T68" s="361">
        <f t="shared" si="82"/>
      </c>
      <c r="U68" s="361">
        <f t="shared" si="83"/>
      </c>
      <c r="V68" s="361">
        <f t="shared" si="84"/>
      </c>
      <c r="W68" s="361">
        <f t="shared" si="85"/>
      </c>
      <c r="X68" s="361">
        <f t="shared" si="86"/>
      </c>
      <c r="Y68" s="361">
        <f t="shared" si="87"/>
      </c>
      <c r="Z68" s="361">
        <f t="shared" si="88"/>
      </c>
      <c r="AA68" s="361">
        <f t="shared" si="89"/>
      </c>
      <c r="AB68" s="361">
        <f t="shared" si="90"/>
      </c>
      <c r="AC68" s="362"/>
      <c r="AD68" s="363">
        <f aca="true" t="shared" si="95" ref="AD68:AD81">SUM($B$64*P68)/1000</f>
        <v>0</v>
      </c>
      <c r="AE68" s="364">
        <f t="shared" si="91"/>
      </c>
      <c r="AF68" s="365">
        <f t="shared" si="92"/>
      </c>
      <c r="AG68" s="366">
        <f t="shared" si="93"/>
      </c>
      <c r="AH68" s="367">
        <f t="shared" si="94"/>
      </c>
    </row>
    <row r="69" spans="1:34" ht="14.25" customHeight="1">
      <c r="A69" s="399"/>
      <c r="B69" s="359"/>
      <c r="C69" s="360">
        <f t="shared" si="66"/>
      </c>
      <c r="D69" s="360">
        <f t="shared" si="67"/>
      </c>
      <c r="E69" s="360">
        <f t="shared" si="68"/>
      </c>
      <c r="F69" s="360">
        <f t="shared" si="69"/>
      </c>
      <c r="G69" s="360">
        <f t="shared" si="70"/>
      </c>
      <c r="H69" s="360">
        <f t="shared" si="71"/>
      </c>
      <c r="I69" s="360">
        <f t="shared" si="72"/>
      </c>
      <c r="J69" s="360">
        <f t="shared" si="73"/>
      </c>
      <c r="K69" s="360">
        <f t="shared" si="74"/>
      </c>
      <c r="L69" s="360">
        <f t="shared" si="75"/>
      </c>
      <c r="M69" s="360">
        <f t="shared" si="76"/>
      </c>
      <c r="N69" s="360">
        <f t="shared" si="77"/>
      </c>
      <c r="O69" s="368">
        <f t="shared" si="78"/>
      </c>
      <c r="P69" s="402"/>
      <c r="Q69" s="361">
        <f t="shared" si="79"/>
      </c>
      <c r="R69" s="361">
        <f t="shared" si="80"/>
      </c>
      <c r="S69" s="361">
        <f t="shared" si="81"/>
      </c>
      <c r="T69" s="361">
        <f t="shared" si="82"/>
      </c>
      <c r="U69" s="361">
        <f t="shared" si="83"/>
      </c>
      <c r="V69" s="361">
        <f t="shared" si="84"/>
      </c>
      <c r="W69" s="361">
        <f t="shared" si="85"/>
      </c>
      <c r="X69" s="361">
        <f t="shared" si="86"/>
      </c>
      <c r="Y69" s="361">
        <f t="shared" si="87"/>
      </c>
      <c r="Z69" s="361">
        <f t="shared" si="88"/>
      </c>
      <c r="AA69" s="361">
        <f t="shared" si="89"/>
      </c>
      <c r="AB69" s="361">
        <f t="shared" si="90"/>
      </c>
      <c r="AC69" s="362"/>
      <c r="AD69" s="363">
        <f t="shared" si="95"/>
        <v>0</v>
      </c>
      <c r="AE69" s="364">
        <f t="shared" si="91"/>
      </c>
      <c r="AF69" s="365">
        <f t="shared" si="92"/>
      </c>
      <c r="AG69" s="366">
        <f t="shared" si="93"/>
      </c>
      <c r="AH69" s="367">
        <f t="shared" si="94"/>
      </c>
    </row>
    <row r="70" spans="1:34" ht="14.25" customHeight="1">
      <c r="A70" s="399"/>
      <c r="B70" s="359"/>
      <c r="C70" s="360">
        <f t="shared" si="66"/>
      </c>
      <c r="D70" s="360">
        <f t="shared" si="67"/>
      </c>
      <c r="E70" s="360">
        <f t="shared" si="68"/>
      </c>
      <c r="F70" s="360">
        <f t="shared" si="69"/>
      </c>
      <c r="G70" s="360">
        <f t="shared" si="70"/>
      </c>
      <c r="H70" s="360">
        <f t="shared" si="71"/>
      </c>
      <c r="I70" s="360">
        <f t="shared" si="72"/>
      </c>
      <c r="J70" s="360">
        <f t="shared" si="73"/>
      </c>
      <c r="K70" s="360">
        <f t="shared" si="74"/>
      </c>
      <c r="L70" s="360">
        <f t="shared" si="75"/>
      </c>
      <c r="M70" s="360">
        <f t="shared" si="76"/>
      </c>
      <c r="N70" s="360">
        <f t="shared" si="77"/>
      </c>
      <c r="O70" s="368">
        <f t="shared" si="78"/>
      </c>
      <c r="P70" s="402"/>
      <c r="Q70" s="361">
        <f t="shared" si="79"/>
      </c>
      <c r="R70" s="361">
        <f t="shared" si="80"/>
      </c>
      <c r="S70" s="361">
        <f t="shared" si="81"/>
      </c>
      <c r="T70" s="361">
        <f t="shared" si="82"/>
      </c>
      <c r="U70" s="361">
        <f t="shared" si="83"/>
      </c>
      <c r="V70" s="361">
        <f t="shared" si="84"/>
      </c>
      <c r="W70" s="361">
        <f t="shared" si="85"/>
      </c>
      <c r="X70" s="361">
        <f t="shared" si="86"/>
      </c>
      <c r="Y70" s="361">
        <f t="shared" si="87"/>
      </c>
      <c r="Z70" s="361">
        <f t="shared" si="88"/>
      </c>
      <c r="AA70" s="361">
        <f t="shared" si="89"/>
      </c>
      <c r="AB70" s="361">
        <f t="shared" si="90"/>
      </c>
      <c r="AC70" s="362"/>
      <c r="AD70" s="363">
        <f t="shared" si="95"/>
        <v>0</v>
      </c>
      <c r="AE70" s="364">
        <f t="shared" si="91"/>
      </c>
      <c r="AF70" s="365">
        <f t="shared" si="92"/>
      </c>
      <c r="AG70" s="366">
        <f t="shared" si="93"/>
      </c>
      <c r="AH70" s="367">
        <f t="shared" si="94"/>
      </c>
    </row>
    <row r="71" spans="1:34" ht="14.25" customHeight="1">
      <c r="A71" s="399"/>
      <c r="B71" s="359"/>
      <c r="C71" s="360">
        <f t="shared" si="66"/>
      </c>
      <c r="D71" s="360">
        <f t="shared" si="67"/>
      </c>
      <c r="E71" s="360">
        <f t="shared" si="68"/>
      </c>
      <c r="F71" s="360">
        <f t="shared" si="69"/>
      </c>
      <c r="G71" s="360">
        <f t="shared" si="70"/>
      </c>
      <c r="H71" s="360">
        <f t="shared" si="71"/>
      </c>
      <c r="I71" s="360">
        <f t="shared" si="72"/>
      </c>
      <c r="J71" s="360">
        <f t="shared" si="73"/>
      </c>
      <c r="K71" s="360">
        <f t="shared" si="74"/>
      </c>
      <c r="L71" s="360">
        <f t="shared" si="75"/>
      </c>
      <c r="M71" s="360">
        <f t="shared" si="76"/>
      </c>
      <c r="N71" s="360">
        <f t="shared" si="77"/>
      </c>
      <c r="O71" s="368">
        <f t="shared" si="78"/>
      </c>
      <c r="P71" s="402"/>
      <c r="Q71" s="361">
        <f t="shared" si="79"/>
      </c>
      <c r="R71" s="361">
        <f t="shared" si="80"/>
      </c>
      <c r="S71" s="361">
        <f t="shared" si="81"/>
      </c>
      <c r="T71" s="361">
        <f t="shared" si="82"/>
      </c>
      <c r="U71" s="361">
        <f t="shared" si="83"/>
      </c>
      <c r="V71" s="361">
        <f t="shared" si="84"/>
      </c>
      <c r="W71" s="361">
        <f t="shared" si="85"/>
      </c>
      <c r="X71" s="361">
        <f t="shared" si="86"/>
      </c>
      <c r="Y71" s="361">
        <f t="shared" si="87"/>
      </c>
      <c r="Z71" s="361">
        <f t="shared" si="88"/>
      </c>
      <c r="AA71" s="361">
        <f t="shared" si="89"/>
      </c>
      <c r="AB71" s="361">
        <f t="shared" si="90"/>
      </c>
      <c r="AC71" s="362"/>
      <c r="AD71" s="363">
        <f t="shared" si="95"/>
        <v>0</v>
      </c>
      <c r="AE71" s="364">
        <f t="shared" si="91"/>
      </c>
      <c r="AF71" s="365">
        <f t="shared" si="92"/>
      </c>
      <c r="AG71" s="366">
        <f t="shared" si="93"/>
      </c>
      <c r="AH71" s="367">
        <f t="shared" si="94"/>
      </c>
    </row>
    <row r="72" spans="1:34" ht="14.25" customHeight="1">
      <c r="A72" s="399"/>
      <c r="B72" s="359"/>
      <c r="C72" s="360">
        <f t="shared" si="66"/>
      </c>
      <c r="D72" s="360">
        <f t="shared" si="67"/>
      </c>
      <c r="E72" s="360">
        <f t="shared" si="68"/>
      </c>
      <c r="F72" s="360">
        <f t="shared" si="69"/>
      </c>
      <c r="G72" s="360">
        <f t="shared" si="70"/>
      </c>
      <c r="H72" s="360">
        <f t="shared" si="71"/>
      </c>
      <c r="I72" s="360">
        <f t="shared" si="72"/>
      </c>
      <c r="J72" s="360">
        <f t="shared" si="73"/>
      </c>
      <c r="K72" s="360">
        <f t="shared" si="74"/>
      </c>
      <c r="L72" s="360">
        <f t="shared" si="75"/>
      </c>
      <c r="M72" s="360">
        <f t="shared" si="76"/>
      </c>
      <c r="N72" s="360">
        <f t="shared" si="77"/>
      </c>
      <c r="O72" s="368">
        <f t="shared" si="78"/>
      </c>
      <c r="P72" s="402"/>
      <c r="Q72" s="361">
        <f t="shared" si="79"/>
      </c>
      <c r="R72" s="361">
        <f t="shared" si="80"/>
      </c>
      <c r="S72" s="361">
        <f t="shared" si="81"/>
      </c>
      <c r="T72" s="361">
        <f t="shared" si="82"/>
      </c>
      <c r="U72" s="361">
        <f t="shared" si="83"/>
      </c>
      <c r="V72" s="361">
        <f t="shared" si="84"/>
      </c>
      <c r="W72" s="361">
        <f t="shared" si="85"/>
      </c>
      <c r="X72" s="361">
        <f t="shared" si="86"/>
      </c>
      <c r="Y72" s="361">
        <f t="shared" si="87"/>
      </c>
      <c r="Z72" s="361">
        <f t="shared" si="88"/>
      </c>
      <c r="AA72" s="361">
        <f t="shared" si="89"/>
      </c>
      <c r="AB72" s="361">
        <f t="shared" si="90"/>
      </c>
      <c r="AC72" s="362"/>
      <c r="AD72" s="363">
        <f t="shared" si="95"/>
        <v>0</v>
      </c>
      <c r="AE72" s="364">
        <f t="shared" si="91"/>
      </c>
      <c r="AF72" s="365">
        <f t="shared" si="92"/>
      </c>
      <c r="AG72" s="366">
        <f t="shared" si="93"/>
      </c>
      <c r="AH72" s="367">
        <f t="shared" si="94"/>
      </c>
    </row>
    <row r="73" spans="1:34" ht="14.25" customHeight="1">
      <c r="A73" s="399"/>
      <c r="B73" s="359"/>
      <c r="C73" s="360">
        <f t="shared" si="66"/>
      </c>
      <c r="D73" s="360">
        <f t="shared" si="67"/>
      </c>
      <c r="E73" s="360">
        <f t="shared" si="68"/>
      </c>
      <c r="F73" s="360">
        <f t="shared" si="69"/>
      </c>
      <c r="G73" s="360">
        <f t="shared" si="70"/>
      </c>
      <c r="H73" s="360">
        <f t="shared" si="71"/>
      </c>
      <c r="I73" s="360">
        <f t="shared" si="72"/>
      </c>
      <c r="J73" s="360">
        <f t="shared" si="73"/>
      </c>
      <c r="K73" s="360">
        <f t="shared" si="74"/>
      </c>
      <c r="L73" s="360">
        <f t="shared" si="75"/>
      </c>
      <c r="M73" s="360">
        <f t="shared" si="76"/>
      </c>
      <c r="N73" s="360">
        <f t="shared" si="77"/>
      </c>
      <c r="O73" s="368">
        <f t="shared" si="78"/>
      </c>
      <c r="P73" s="402"/>
      <c r="Q73" s="361">
        <f t="shared" si="79"/>
      </c>
      <c r="R73" s="361">
        <f t="shared" si="80"/>
      </c>
      <c r="S73" s="361">
        <f t="shared" si="81"/>
      </c>
      <c r="T73" s="361">
        <f t="shared" si="82"/>
      </c>
      <c r="U73" s="361">
        <f t="shared" si="83"/>
      </c>
      <c r="V73" s="361">
        <f t="shared" si="84"/>
      </c>
      <c r="W73" s="361">
        <f t="shared" si="85"/>
      </c>
      <c r="X73" s="361">
        <f t="shared" si="86"/>
      </c>
      <c r="Y73" s="361">
        <f t="shared" si="87"/>
      </c>
      <c r="Z73" s="361">
        <f t="shared" si="88"/>
      </c>
      <c r="AA73" s="361">
        <f t="shared" si="89"/>
      </c>
      <c r="AB73" s="361">
        <f t="shared" si="90"/>
      </c>
      <c r="AC73" s="362"/>
      <c r="AD73" s="363">
        <f t="shared" si="95"/>
        <v>0</v>
      </c>
      <c r="AE73" s="364">
        <f t="shared" si="91"/>
      </c>
      <c r="AF73" s="365">
        <f t="shared" si="92"/>
      </c>
      <c r="AG73" s="366">
        <f t="shared" si="93"/>
      </c>
      <c r="AH73" s="367">
        <f t="shared" si="94"/>
      </c>
    </row>
    <row r="74" spans="1:34" ht="14.25" customHeight="1">
      <c r="A74" s="399"/>
      <c r="B74" s="359"/>
      <c r="C74" s="360">
        <f t="shared" si="66"/>
      </c>
      <c r="D74" s="360">
        <f t="shared" si="67"/>
      </c>
      <c r="E74" s="360">
        <f t="shared" si="68"/>
      </c>
      <c r="F74" s="360">
        <f t="shared" si="69"/>
      </c>
      <c r="G74" s="360">
        <f t="shared" si="70"/>
      </c>
      <c r="H74" s="360">
        <f t="shared" si="71"/>
      </c>
      <c r="I74" s="360">
        <f t="shared" si="72"/>
      </c>
      <c r="J74" s="360">
        <f t="shared" si="73"/>
      </c>
      <c r="K74" s="360">
        <f t="shared" si="74"/>
      </c>
      <c r="L74" s="360">
        <f t="shared" si="75"/>
      </c>
      <c r="M74" s="360">
        <f t="shared" si="76"/>
      </c>
      <c r="N74" s="360">
        <f t="shared" si="77"/>
      </c>
      <c r="O74" s="368">
        <f t="shared" si="78"/>
      </c>
      <c r="P74" s="402"/>
      <c r="Q74" s="361">
        <f t="shared" si="79"/>
      </c>
      <c r="R74" s="361">
        <f t="shared" si="80"/>
      </c>
      <c r="S74" s="361">
        <f t="shared" si="81"/>
      </c>
      <c r="T74" s="361">
        <f t="shared" si="82"/>
      </c>
      <c r="U74" s="361">
        <f t="shared" si="83"/>
      </c>
      <c r="V74" s="361">
        <f t="shared" si="84"/>
      </c>
      <c r="W74" s="361">
        <f t="shared" si="85"/>
      </c>
      <c r="X74" s="361">
        <f t="shared" si="86"/>
      </c>
      <c r="Y74" s="361">
        <f t="shared" si="87"/>
      </c>
      <c r="Z74" s="361">
        <f t="shared" si="88"/>
      </c>
      <c r="AA74" s="361">
        <f t="shared" si="89"/>
      </c>
      <c r="AB74" s="361">
        <f t="shared" si="90"/>
      </c>
      <c r="AC74" s="362"/>
      <c r="AD74" s="363">
        <f t="shared" si="95"/>
        <v>0</v>
      </c>
      <c r="AE74" s="364">
        <f t="shared" si="91"/>
      </c>
      <c r="AF74" s="365">
        <f t="shared" si="92"/>
      </c>
      <c r="AG74" s="366">
        <f t="shared" si="93"/>
      </c>
      <c r="AH74" s="367">
        <f t="shared" si="94"/>
      </c>
    </row>
    <row r="75" spans="1:34" ht="14.25" customHeight="1">
      <c r="A75" s="399"/>
      <c r="B75" s="359"/>
      <c r="C75" s="360">
        <f t="shared" si="66"/>
      </c>
      <c r="D75" s="360">
        <f t="shared" si="67"/>
      </c>
      <c r="E75" s="360">
        <f t="shared" si="68"/>
      </c>
      <c r="F75" s="360">
        <f t="shared" si="69"/>
      </c>
      <c r="G75" s="360">
        <f t="shared" si="70"/>
      </c>
      <c r="H75" s="360">
        <f t="shared" si="71"/>
      </c>
      <c r="I75" s="360">
        <f t="shared" si="72"/>
      </c>
      <c r="J75" s="360">
        <f t="shared" si="73"/>
      </c>
      <c r="K75" s="360">
        <f t="shared" si="74"/>
      </c>
      <c r="L75" s="360">
        <f t="shared" si="75"/>
      </c>
      <c r="M75" s="360">
        <f t="shared" si="76"/>
      </c>
      <c r="N75" s="360">
        <f t="shared" si="77"/>
      </c>
      <c r="O75" s="368">
        <f t="shared" si="78"/>
      </c>
      <c r="P75" s="402"/>
      <c r="Q75" s="361">
        <f t="shared" si="79"/>
      </c>
      <c r="R75" s="361">
        <f t="shared" si="80"/>
      </c>
      <c r="S75" s="361">
        <f t="shared" si="81"/>
      </c>
      <c r="T75" s="361">
        <f t="shared" si="82"/>
      </c>
      <c r="U75" s="361">
        <f t="shared" si="83"/>
      </c>
      <c r="V75" s="361">
        <f t="shared" si="84"/>
      </c>
      <c r="W75" s="361">
        <f t="shared" si="85"/>
      </c>
      <c r="X75" s="361">
        <f t="shared" si="86"/>
      </c>
      <c r="Y75" s="361">
        <f t="shared" si="87"/>
      </c>
      <c r="Z75" s="361">
        <f t="shared" si="88"/>
      </c>
      <c r="AA75" s="361">
        <f t="shared" si="89"/>
      </c>
      <c r="AB75" s="361">
        <f t="shared" si="90"/>
      </c>
      <c r="AC75" s="362"/>
      <c r="AD75" s="363">
        <f t="shared" si="95"/>
        <v>0</v>
      </c>
      <c r="AE75" s="364">
        <f t="shared" si="91"/>
      </c>
      <c r="AF75" s="365">
        <f t="shared" si="92"/>
      </c>
      <c r="AG75" s="366">
        <f t="shared" si="93"/>
      </c>
      <c r="AH75" s="367">
        <f t="shared" si="94"/>
      </c>
    </row>
    <row r="76" spans="1:34" ht="14.25" customHeight="1">
      <c r="A76" s="399"/>
      <c r="B76" s="359"/>
      <c r="C76" s="360">
        <f t="shared" si="66"/>
      </c>
      <c r="D76" s="360">
        <f t="shared" si="67"/>
      </c>
      <c r="E76" s="360">
        <f t="shared" si="68"/>
      </c>
      <c r="F76" s="360">
        <f t="shared" si="69"/>
      </c>
      <c r="G76" s="360">
        <f t="shared" si="70"/>
      </c>
      <c r="H76" s="360">
        <f t="shared" si="71"/>
      </c>
      <c r="I76" s="360">
        <f t="shared" si="72"/>
      </c>
      <c r="J76" s="360">
        <f t="shared" si="73"/>
      </c>
      <c r="K76" s="360">
        <f t="shared" si="74"/>
      </c>
      <c r="L76" s="360">
        <f t="shared" si="75"/>
      </c>
      <c r="M76" s="360">
        <f t="shared" si="76"/>
      </c>
      <c r="N76" s="360">
        <f t="shared" si="77"/>
      </c>
      <c r="O76" s="368">
        <f t="shared" si="78"/>
      </c>
      <c r="P76" s="402"/>
      <c r="Q76" s="361">
        <f t="shared" si="79"/>
      </c>
      <c r="R76" s="361">
        <f t="shared" si="80"/>
      </c>
      <c r="S76" s="361">
        <f t="shared" si="81"/>
      </c>
      <c r="T76" s="361">
        <f t="shared" si="82"/>
      </c>
      <c r="U76" s="361">
        <f t="shared" si="83"/>
      </c>
      <c r="V76" s="361">
        <f t="shared" si="84"/>
      </c>
      <c r="W76" s="361">
        <f t="shared" si="85"/>
      </c>
      <c r="X76" s="361">
        <f t="shared" si="86"/>
      </c>
      <c r="Y76" s="361">
        <f t="shared" si="87"/>
      </c>
      <c r="Z76" s="361">
        <f t="shared" si="88"/>
      </c>
      <c r="AA76" s="361">
        <f t="shared" si="89"/>
      </c>
      <c r="AB76" s="361">
        <f t="shared" si="90"/>
      </c>
      <c r="AC76" s="362"/>
      <c r="AD76" s="363">
        <f t="shared" si="95"/>
        <v>0</v>
      </c>
      <c r="AE76" s="364">
        <f t="shared" si="91"/>
      </c>
      <c r="AF76" s="365">
        <f t="shared" si="92"/>
      </c>
      <c r="AG76" s="366">
        <f t="shared" si="93"/>
      </c>
      <c r="AH76" s="367">
        <f t="shared" si="94"/>
      </c>
    </row>
    <row r="77" spans="1:34" ht="14.25" customHeight="1">
      <c r="A77" s="399"/>
      <c r="B77" s="359"/>
      <c r="C77" s="360">
        <f t="shared" si="66"/>
      </c>
      <c r="D77" s="360">
        <f t="shared" si="67"/>
      </c>
      <c r="E77" s="360">
        <f t="shared" si="68"/>
      </c>
      <c r="F77" s="360">
        <f t="shared" si="69"/>
      </c>
      <c r="G77" s="360">
        <f t="shared" si="70"/>
      </c>
      <c r="H77" s="360">
        <f t="shared" si="71"/>
      </c>
      <c r="I77" s="360">
        <f t="shared" si="72"/>
      </c>
      <c r="J77" s="360">
        <f t="shared" si="73"/>
      </c>
      <c r="K77" s="360">
        <f t="shared" si="74"/>
      </c>
      <c r="L77" s="360">
        <f t="shared" si="75"/>
      </c>
      <c r="M77" s="360">
        <f t="shared" si="76"/>
      </c>
      <c r="N77" s="360">
        <f t="shared" si="77"/>
      </c>
      <c r="O77" s="368">
        <f t="shared" si="78"/>
      </c>
      <c r="P77" s="402"/>
      <c r="Q77" s="361">
        <f t="shared" si="79"/>
      </c>
      <c r="R77" s="361">
        <f t="shared" si="80"/>
      </c>
      <c r="S77" s="361">
        <f t="shared" si="81"/>
      </c>
      <c r="T77" s="361">
        <f t="shared" si="82"/>
      </c>
      <c r="U77" s="361">
        <f t="shared" si="83"/>
      </c>
      <c r="V77" s="361">
        <f t="shared" si="84"/>
      </c>
      <c r="W77" s="361">
        <f t="shared" si="85"/>
      </c>
      <c r="X77" s="361">
        <f t="shared" si="86"/>
      </c>
      <c r="Y77" s="361">
        <f t="shared" si="87"/>
      </c>
      <c r="Z77" s="361">
        <f t="shared" si="88"/>
      </c>
      <c r="AA77" s="361">
        <f t="shared" si="89"/>
      </c>
      <c r="AB77" s="361">
        <f t="shared" si="90"/>
      </c>
      <c r="AC77" s="362"/>
      <c r="AD77" s="363">
        <f t="shared" si="95"/>
        <v>0</v>
      </c>
      <c r="AE77" s="364">
        <f t="shared" si="91"/>
      </c>
      <c r="AF77" s="365">
        <f t="shared" si="92"/>
      </c>
      <c r="AG77" s="366">
        <f t="shared" si="93"/>
      </c>
      <c r="AH77" s="367">
        <f t="shared" si="94"/>
      </c>
    </row>
    <row r="78" spans="1:34" ht="14.25" customHeight="1">
      <c r="A78" s="399"/>
      <c r="B78" s="359"/>
      <c r="C78" s="360">
        <f t="shared" si="66"/>
      </c>
      <c r="D78" s="360">
        <f t="shared" si="67"/>
      </c>
      <c r="E78" s="360">
        <f t="shared" si="68"/>
      </c>
      <c r="F78" s="360">
        <f t="shared" si="69"/>
      </c>
      <c r="G78" s="360">
        <f t="shared" si="70"/>
      </c>
      <c r="H78" s="360">
        <f t="shared" si="71"/>
      </c>
      <c r="I78" s="360">
        <f t="shared" si="72"/>
      </c>
      <c r="J78" s="360">
        <f t="shared" si="73"/>
      </c>
      <c r="K78" s="360">
        <f t="shared" si="74"/>
      </c>
      <c r="L78" s="360">
        <f t="shared" si="75"/>
      </c>
      <c r="M78" s="360">
        <f t="shared" si="76"/>
      </c>
      <c r="N78" s="360">
        <f t="shared" si="77"/>
      </c>
      <c r="O78" s="368">
        <f t="shared" si="78"/>
      </c>
      <c r="P78" s="402"/>
      <c r="Q78" s="361">
        <f t="shared" si="79"/>
      </c>
      <c r="R78" s="361">
        <f t="shared" si="80"/>
      </c>
      <c r="S78" s="361">
        <f t="shared" si="81"/>
      </c>
      <c r="T78" s="361">
        <f t="shared" si="82"/>
      </c>
      <c r="U78" s="361">
        <f t="shared" si="83"/>
      </c>
      <c r="V78" s="361">
        <f t="shared" si="84"/>
      </c>
      <c r="W78" s="361">
        <f t="shared" si="85"/>
      </c>
      <c r="X78" s="361">
        <f t="shared" si="86"/>
      </c>
      <c r="Y78" s="361">
        <f t="shared" si="87"/>
      </c>
      <c r="Z78" s="361">
        <f t="shared" si="88"/>
      </c>
      <c r="AA78" s="361">
        <f t="shared" si="89"/>
      </c>
      <c r="AB78" s="361">
        <f t="shared" si="90"/>
      </c>
      <c r="AC78" s="362"/>
      <c r="AD78" s="363">
        <f t="shared" si="95"/>
        <v>0</v>
      </c>
      <c r="AE78" s="364">
        <f t="shared" si="91"/>
      </c>
      <c r="AF78" s="365">
        <f t="shared" si="92"/>
      </c>
      <c r="AG78" s="366">
        <f t="shared" si="93"/>
      </c>
      <c r="AH78" s="367">
        <f t="shared" si="94"/>
      </c>
    </row>
    <row r="79" spans="1:34" ht="14.25" customHeight="1">
      <c r="A79" s="399"/>
      <c r="B79" s="359"/>
      <c r="C79" s="360">
        <f t="shared" si="66"/>
      </c>
      <c r="D79" s="360">
        <f t="shared" si="67"/>
      </c>
      <c r="E79" s="360">
        <f t="shared" si="68"/>
      </c>
      <c r="F79" s="360">
        <f t="shared" si="69"/>
      </c>
      <c r="G79" s="360">
        <f t="shared" si="70"/>
      </c>
      <c r="H79" s="360">
        <f t="shared" si="71"/>
      </c>
      <c r="I79" s="360">
        <f t="shared" si="72"/>
      </c>
      <c r="J79" s="360">
        <f t="shared" si="73"/>
      </c>
      <c r="K79" s="360">
        <f t="shared" si="74"/>
      </c>
      <c r="L79" s="360">
        <f t="shared" si="75"/>
      </c>
      <c r="M79" s="360">
        <f t="shared" si="76"/>
      </c>
      <c r="N79" s="360">
        <f t="shared" si="77"/>
      </c>
      <c r="O79" s="368">
        <f t="shared" si="78"/>
      </c>
      <c r="P79" s="402"/>
      <c r="Q79" s="361">
        <f t="shared" si="79"/>
      </c>
      <c r="R79" s="361">
        <f t="shared" si="80"/>
      </c>
      <c r="S79" s="361">
        <f t="shared" si="81"/>
      </c>
      <c r="T79" s="361">
        <f t="shared" si="82"/>
      </c>
      <c r="U79" s="361">
        <f t="shared" si="83"/>
      </c>
      <c r="V79" s="361">
        <f t="shared" si="84"/>
      </c>
      <c r="W79" s="361">
        <f t="shared" si="85"/>
      </c>
      <c r="X79" s="361">
        <f t="shared" si="86"/>
      </c>
      <c r="Y79" s="361">
        <f t="shared" si="87"/>
      </c>
      <c r="Z79" s="361">
        <f t="shared" si="88"/>
      </c>
      <c r="AA79" s="361">
        <f t="shared" si="89"/>
      </c>
      <c r="AB79" s="361">
        <f t="shared" si="90"/>
      </c>
      <c r="AC79" s="362"/>
      <c r="AD79" s="363">
        <f t="shared" si="95"/>
        <v>0</v>
      </c>
      <c r="AE79" s="364">
        <f t="shared" si="91"/>
      </c>
      <c r="AF79" s="365">
        <f t="shared" si="92"/>
      </c>
      <c r="AG79" s="366">
        <f t="shared" si="93"/>
      </c>
      <c r="AH79" s="367">
        <f t="shared" si="94"/>
      </c>
    </row>
    <row r="80" spans="1:34" ht="14.25" customHeight="1">
      <c r="A80" s="399"/>
      <c r="B80" s="359"/>
      <c r="C80" s="360">
        <f t="shared" si="66"/>
      </c>
      <c r="D80" s="360">
        <f t="shared" si="67"/>
      </c>
      <c r="E80" s="360">
        <f t="shared" si="68"/>
      </c>
      <c r="F80" s="360">
        <f t="shared" si="69"/>
      </c>
      <c r="G80" s="360">
        <f t="shared" si="70"/>
      </c>
      <c r="H80" s="360">
        <f t="shared" si="71"/>
      </c>
      <c r="I80" s="360">
        <f t="shared" si="72"/>
      </c>
      <c r="J80" s="360">
        <f t="shared" si="73"/>
      </c>
      <c r="K80" s="360">
        <f t="shared" si="74"/>
      </c>
      <c r="L80" s="360">
        <f t="shared" si="75"/>
      </c>
      <c r="M80" s="360">
        <f t="shared" si="76"/>
      </c>
      <c r="N80" s="360">
        <f t="shared" si="77"/>
      </c>
      <c r="O80" s="368">
        <f t="shared" si="78"/>
      </c>
      <c r="P80" s="402"/>
      <c r="Q80" s="361">
        <f t="shared" si="79"/>
      </c>
      <c r="R80" s="361">
        <f t="shared" si="80"/>
      </c>
      <c r="S80" s="361">
        <f t="shared" si="81"/>
      </c>
      <c r="T80" s="361">
        <f t="shared" si="82"/>
      </c>
      <c r="U80" s="361">
        <f t="shared" si="83"/>
      </c>
      <c r="V80" s="361">
        <f t="shared" si="84"/>
      </c>
      <c r="W80" s="361">
        <f t="shared" si="85"/>
      </c>
      <c r="X80" s="361">
        <f t="shared" si="86"/>
      </c>
      <c r="Y80" s="361">
        <f t="shared" si="87"/>
      </c>
      <c r="Z80" s="361">
        <f t="shared" si="88"/>
      </c>
      <c r="AA80" s="361">
        <f t="shared" si="89"/>
      </c>
      <c r="AB80" s="361">
        <f t="shared" si="90"/>
      </c>
      <c r="AC80" s="362"/>
      <c r="AD80" s="363">
        <f t="shared" si="95"/>
        <v>0</v>
      </c>
      <c r="AE80" s="364">
        <f t="shared" si="91"/>
      </c>
      <c r="AF80" s="365">
        <f t="shared" si="92"/>
      </c>
      <c r="AG80" s="366">
        <f t="shared" si="93"/>
      </c>
      <c r="AH80" s="367">
        <f t="shared" si="94"/>
      </c>
    </row>
    <row r="81" spans="1:34" ht="14.25" customHeight="1">
      <c r="A81" s="399"/>
      <c r="B81" s="359"/>
      <c r="C81" s="360">
        <f t="shared" si="66"/>
      </c>
      <c r="D81" s="360">
        <f t="shared" si="67"/>
      </c>
      <c r="E81" s="360">
        <f t="shared" si="68"/>
      </c>
      <c r="F81" s="360">
        <f t="shared" si="69"/>
      </c>
      <c r="G81" s="360">
        <f t="shared" si="70"/>
      </c>
      <c r="H81" s="360">
        <f t="shared" si="71"/>
      </c>
      <c r="I81" s="360">
        <f t="shared" si="72"/>
      </c>
      <c r="J81" s="360">
        <f t="shared" si="73"/>
      </c>
      <c r="K81" s="360">
        <f t="shared" si="74"/>
      </c>
      <c r="L81" s="360">
        <f t="shared" si="75"/>
      </c>
      <c r="M81" s="360">
        <f t="shared" si="76"/>
      </c>
      <c r="N81" s="360">
        <f t="shared" si="77"/>
      </c>
      <c r="O81" s="368">
        <f t="shared" si="78"/>
      </c>
      <c r="P81" s="402"/>
      <c r="Q81" s="361">
        <f t="shared" si="79"/>
      </c>
      <c r="R81" s="361">
        <f t="shared" si="80"/>
      </c>
      <c r="S81" s="361">
        <f t="shared" si="81"/>
      </c>
      <c r="T81" s="361">
        <f t="shared" si="82"/>
      </c>
      <c r="U81" s="361">
        <f t="shared" si="83"/>
      </c>
      <c r="V81" s="361">
        <f t="shared" si="84"/>
      </c>
      <c r="W81" s="361">
        <f t="shared" si="85"/>
      </c>
      <c r="X81" s="361">
        <f t="shared" si="86"/>
      </c>
      <c r="Y81" s="361">
        <f t="shared" si="87"/>
      </c>
      <c r="Z81" s="361">
        <f t="shared" si="88"/>
      </c>
      <c r="AA81" s="361">
        <f t="shared" si="89"/>
      </c>
      <c r="AB81" s="361">
        <f t="shared" si="90"/>
      </c>
      <c r="AC81" s="362"/>
      <c r="AD81" s="363">
        <f t="shared" si="95"/>
        <v>0</v>
      </c>
      <c r="AE81" s="364">
        <f t="shared" si="91"/>
      </c>
      <c r="AF81" s="365">
        <f t="shared" si="92"/>
      </c>
      <c r="AG81" s="366">
        <f t="shared" si="93"/>
      </c>
      <c r="AH81" s="367">
        <f t="shared" si="94"/>
      </c>
    </row>
    <row r="82" ht="12">
      <c r="AC82" s="370"/>
    </row>
    <row r="83" spans="15:34" ht="12.75" thickBot="1">
      <c r="O83" s="349" t="s">
        <v>269</v>
      </c>
      <c r="Q83" s="371">
        <f aca="true" t="shared" si="96" ref="Q83:AB83">SUM(Q67:Q81)</f>
        <v>0</v>
      </c>
      <c r="R83" s="371">
        <f t="shared" si="96"/>
        <v>0</v>
      </c>
      <c r="S83" s="371">
        <f t="shared" si="96"/>
        <v>0</v>
      </c>
      <c r="T83" s="371">
        <f t="shared" si="96"/>
        <v>0</v>
      </c>
      <c r="U83" s="371">
        <f t="shared" si="96"/>
        <v>0</v>
      </c>
      <c r="V83" s="371">
        <f t="shared" si="96"/>
        <v>0</v>
      </c>
      <c r="W83" s="371">
        <f t="shared" si="96"/>
        <v>0</v>
      </c>
      <c r="X83" s="371">
        <f t="shared" si="96"/>
        <v>0</v>
      </c>
      <c r="Y83" s="371">
        <f t="shared" si="96"/>
        <v>0</v>
      </c>
      <c r="Z83" s="371">
        <f t="shared" si="96"/>
        <v>0</v>
      </c>
      <c r="AA83" s="371">
        <f t="shared" si="96"/>
        <v>0</v>
      </c>
      <c r="AB83" s="371">
        <f t="shared" si="96"/>
        <v>0</v>
      </c>
      <c r="AD83" s="372">
        <f>SUM(AD67:AD81)</f>
        <v>0</v>
      </c>
      <c r="AE83" s="373">
        <f>SUM(AE67:AE81)</f>
        <v>0</v>
      </c>
      <c r="AF83" s="373">
        <f>SUM(AF67:AF81)</f>
        <v>0</v>
      </c>
      <c r="AG83" s="358"/>
      <c r="AH83" s="374">
        <f>SUM(AH67:AH81)</f>
        <v>0</v>
      </c>
    </row>
    <row r="84" spans="15:28" ht="12.75" thickTop="1">
      <c r="O84" s="349" t="s">
        <v>270</v>
      </c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</row>
    <row r="85" spans="15:28" ht="12">
      <c r="O85" s="375"/>
      <c r="P85" s="370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</row>
    <row r="86" spans="15:34" ht="12">
      <c r="O86" s="349" t="s">
        <v>271</v>
      </c>
      <c r="Q86" s="378">
        <f aca="true" t="shared" si="97" ref="Q86:AB86">SUM(Q83-Q84)</f>
        <v>0</v>
      </c>
      <c r="R86" s="378">
        <f t="shared" si="97"/>
        <v>0</v>
      </c>
      <c r="S86" s="378">
        <f t="shared" si="97"/>
        <v>0</v>
      </c>
      <c r="T86" s="378">
        <f t="shared" si="97"/>
        <v>0</v>
      </c>
      <c r="U86" s="378">
        <f t="shared" si="97"/>
        <v>0</v>
      </c>
      <c r="V86" s="378">
        <f t="shared" si="97"/>
        <v>0</v>
      </c>
      <c r="W86" s="378">
        <f t="shared" si="97"/>
        <v>0</v>
      </c>
      <c r="X86" s="378">
        <f t="shared" si="97"/>
        <v>0</v>
      </c>
      <c r="Y86" s="378">
        <f t="shared" si="97"/>
        <v>0</v>
      </c>
      <c r="Z86" s="378">
        <f t="shared" si="97"/>
        <v>0</v>
      </c>
      <c r="AA86" s="378">
        <f t="shared" si="97"/>
        <v>0</v>
      </c>
      <c r="AB86" s="378">
        <f t="shared" si="97"/>
        <v>0</v>
      </c>
      <c r="AF86" s="349" t="s">
        <v>273</v>
      </c>
      <c r="AH86" s="379"/>
    </row>
    <row r="87" spans="15:34" ht="12">
      <c r="O87" s="349"/>
      <c r="AF87" s="349" t="s">
        <v>274</v>
      </c>
      <c r="AH87" s="379">
        <f>SUM(AH83-AH86)</f>
        <v>0</v>
      </c>
    </row>
    <row r="88" spans="15:28" ht="12">
      <c r="O88" s="349" t="s">
        <v>272</v>
      </c>
      <c r="Q88" s="357" t="str">
        <f aca="true" t="shared" si="98" ref="Q88:AB88">IF(Q86&lt;0,"^","OK")</f>
        <v>OK</v>
      </c>
      <c r="R88" s="357" t="str">
        <f t="shared" si="98"/>
        <v>OK</v>
      </c>
      <c r="S88" s="357" t="str">
        <f t="shared" si="98"/>
        <v>OK</v>
      </c>
      <c r="T88" s="357" t="str">
        <f t="shared" si="98"/>
        <v>OK</v>
      </c>
      <c r="U88" s="357" t="str">
        <f t="shared" si="98"/>
        <v>OK</v>
      </c>
      <c r="V88" s="357" t="str">
        <f t="shared" si="98"/>
        <v>OK</v>
      </c>
      <c r="W88" s="357" t="str">
        <f t="shared" si="98"/>
        <v>OK</v>
      </c>
      <c r="X88" s="357" t="str">
        <f t="shared" si="98"/>
        <v>OK</v>
      </c>
      <c r="Y88" s="357" t="str">
        <f t="shared" si="98"/>
        <v>OK</v>
      </c>
      <c r="Z88" s="357" t="str">
        <f t="shared" si="98"/>
        <v>OK</v>
      </c>
      <c r="AA88" s="357" t="str">
        <f t="shared" si="98"/>
        <v>OK</v>
      </c>
      <c r="AB88" s="357" t="str">
        <f t="shared" si="98"/>
        <v>OK</v>
      </c>
    </row>
    <row r="90" ht="12.75" thickBot="1">
      <c r="B90" s="349" t="s">
        <v>277</v>
      </c>
    </row>
    <row r="91" spans="2:3" ht="12.75" thickBot="1">
      <c r="B91" s="400"/>
      <c r="C91" s="350" t="s">
        <v>261</v>
      </c>
    </row>
    <row r="92" spans="3:34" ht="12">
      <c r="C92" s="409" t="s">
        <v>264</v>
      </c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1"/>
      <c r="O92" s="351"/>
      <c r="P92" s="352"/>
      <c r="Q92" s="412" t="s">
        <v>280</v>
      </c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4"/>
      <c r="AC92" s="353"/>
      <c r="AD92" s="354"/>
      <c r="AE92" s="355"/>
      <c r="AF92" s="351"/>
      <c r="AG92" s="356"/>
      <c r="AH92" s="351"/>
    </row>
    <row r="93" spans="1:34" ht="24">
      <c r="A93" s="381" t="s">
        <v>262</v>
      </c>
      <c r="B93" s="381" t="s">
        <v>263</v>
      </c>
      <c r="C93" s="382" t="s">
        <v>140</v>
      </c>
      <c r="D93" s="383" t="s">
        <v>243</v>
      </c>
      <c r="E93" s="383" t="s">
        <v>244</v>
      </c>
      <c r="F93" s="382" t="s">
        <v>32</v>
      </c>
      <c r="G93" s="382" t="s">
        <v>35</v>
      </c>
      <c r="H93" s="382" t="s">
        <v>165</v>
      </c>
      <c r="I93" s="382" t="s">
        <v>142</v>
      </c>
      <c r="J93" s="382" t="s">
        <v>43</v>
      </c>
      <c r="K93" s="382" t="s">
        <v>46</v>
      </c>
      <c r="L93" s="382" t="s">
        <v>49</v>
      </c>
      <c r="M93" s="382" t="s">
        <v>52</v>
      </c>
      <c r="N93" s="382" t="s">
        <v>295</v>
      </c>
      <c r="O93" s="381" t="s">
        <v>265</v>
      </c>
      <c r="P93" s="381" t="s">
        <v>279</v>
      </c>
      <c r="Q93" s="382" t="s">
        <v>140</v>
      </c>
      <c r="R93" s="382" t="s">
        <v>141</v>
      </c>
      <c r="S93" s="382" t="s">
        <v>38</v>
      </c>
      <c r="T93" s="382" t="s">
        <v>32</v>
      </c>
      <c r="U93" s="382" t="s">
        <v>35</v>
      </c>
      <c r="V93" s="382" t="s">
        <v>165</v>
      </c>
      <c r="W93" s="382" t="s">
        <v>142</v>
      </c>
      <c r="X93" s="382" t="s">
        <v>43</v>
      </c>
      <c r="Y93" s="382" t="s">
        <v>46</v>
      </c>
      <c r="Z93" s="382" t="s">
        <v>49</v>
      </c>
      <c r="AA93" s="382" t="s">
        <v>52</v>
      </c>
      <c r="AB93" s="382" t="s">
        <v>295</v>
      </c>
      <c r="AC93" s="384"/>
      <c r="AD93" s="385" t="s">
        <v>281</v>
      </c>
      <c r="AE93" s="381" t="s">
        <v>166</v>
      </c>
      <c r="AF93" s="381" t="s">
        <v>266</v>
      </c>
      <c r="AG93" s="381" t="s">
        <v>267</v>
      </c>
      <c r="AH93" s="381" t="s">
        <v>268</v>
      </c>
    </row>
    <row r="94" spans="1:34" ht="14.25" customHeight="1">
      <c r="A94" s="399"/>
      <c r="B94" s="359"/>
      <c r="C94" s="360">
        <f aca="true" t="shared" si="99" ref="C94:C108">IF($B94="","",VLOOKUP($B94,$AL$7:$AZ$44,2))</f>
      </c>
      <c r="D94" s="360">
        <f aca="true" t="shared" si="100" ref="D94:D108">IF($B94="","",VLOOKUP($B94,$AL$7:$AZ$44,3))</f>
      </c>
      <c r="E94" s="360">
        <f aca="true" t="shared" si="101" ref="E94:E108">IF($B94="","",VLOOKUP($B94,$AL$7:$AZ$44,4))</f>
      </c>
      <c r="F94" s="360">
        <f aca="true" t="shared" si="102" ref="F94:F108">IF($B94="","",VLOOKUP($B94,$AL$7:$AZ$44,5))</f>
      </c>
      <c r="G94" s="360">
        <f aca="true" t="shared" si="103" ref="G94:G108">IF($B94="","",VLOOKUP($B94,$AL$7:$AZ$44,6))</f>
      </c>
      <c r="H94" s="360">
        <f aca="true" t="shared" si="104" ref="H94:H108">IF($B94="","",VLOOKUP($B94,$AL$7:$AZ$44,7))</f>
      </c>
      <c r="I94" s="360">
        <f aca="true" t="shared" si="105" ref="I94:I108">IF($B94="","",VLOOKUP($B94,$AL$7:$AZ$44,8))</f>
      </c>
      <c r="J94" s="360">
        <f aca="true" t="shared" si="106" ref="J94:J108">IF($B94="","",VLOOKUP($B94,$AL$7:$AZ$44,9))</f>
      </c>
      <c r="K94" s="360">
        <f aca="true" t="shared" si="107" ref="K94:K108">IF($B94="","",VLOOKUP($B94,$AL$7:$AZ$44,10))</f>
      </c>
      <c r="L94" s="360">
        <f aca="true" t="shared" si="108" ref="L94:L108">IF($B94="","",VLOOKUP($B94,$AL$7:$AZ$44,11))</f>
      </c>
      <c r="M94" s="360">
        <f aca="true" t="shared" si="109" ref="M94:M108">IF($B94="","",VLOOKUP($B94,$AL$7:$AZ$44,12))</f>
      </c>
      <c r="N94" s="360">
        <f aca="true" t="shared" si="110" ref="N94:N108">IF($B94="","",VLOOKUP($B94,$AL$7:$AZ$44,13))</f>
      </c>
      <c r="O94" s="368">
        <f aca="true" t="shared" si="111" ref="O94:O108">IF($B94="","",VLOOKUP($B94,$AL$7:$AZ$44,14))</f>
      </c>
      <c r="P94" s="401"/>
      <c r="Q94" s="361">
        <f aca="true" t="shared" si="112" ref="Q94:Q108">IF(P94="","",PRODUCT(P94,(C94/100)))</f>
      </c>
      <c r="R94" s="361">
        <f aca="true" t="shared" si="113" ref="R94:R108">IF(P94="","",PRODUCT(P94,(D94/100))*0.45)</f>
      </c>
      <c r="S94" s="361">
        <f aca="true" t="shared" si="114" ref="S94:S108">IF(P94="","",PRODUCT(P94,(E94/100))*0.83)</f>
      </c>
      <c r="T94" s="361">
        <f aca="true" t="shared" si="115" ref="T94:T108">IF(P94="","",PRODUCT(P94,(F94/100)))</f>
      </c>
      <c r="U94" s="361">
        <f aca="true" t="shared" si="116" ref="U94:U108">IF(P94="","",PRODUCT(P94,(G94/100)))</f>
      </c>
      <c r="V94" s="361">
        <f aca="true" t="shared" si="117" ref="V94:V108">IF(P94="","",PRODUCT(P94,(H94/100)))</f>
      </c>
      <c r="W94" s="361">
        <f aca="true" t="shared" si="118" ref="W94:W108">IF(P94="","",PRODUCT(P94,(I94/100)))</f>
      </c>
      <c r="X94" s="361">
        <f aca="true" t="shared" si="119" ref="X94:X108">IF(P94="","",PRODUCT(P94,(J94/100)))</f>
      </c>
      <c r="Y94" s="361">
        <f aca="true" t="shared" si="120" ref="Y94:Y108">IF(P94="","",PRODUCT(P94,(K94/100)))</f>
      </c>
      <c r="Z94" s="361">
        <f aca="true" t="shared" si="121" ref="Z94:Z108">IF(P94="","",PRODUCT(P94,(L94/100)))</f>
      </c>
      <c r="AA94" s="361">
        <f aca="true" t="shared" si="122" ref="AA94:AA108">IF(P94="","",PRODUCT(P94,(M94/100)))</f>
      </c>
      <c r="AB94" s="361">
        <f aca="true" t="shared" si="123" ref="AB94:AB108">IF(P94="","",PRODUCT(P94,(N94/100)))</f>
      </c>
      <c r="AC94" s="362"/>
      <c r="AD94" s="363">
        <f>SUM($B$91*P94)/1000</f>
        <v>0</v>
      </c>
      <c r="AE94" s="364">
        <f aca="true" t="shared" si="124" ref="AE94:AE108">IF(B94="","",AD94/O94)</f>
      </c>
      <c r="AF94" s="365">
        <f aca="true" t="shared" si="125" ref="AF94:AF108">IF(B94="","",ROUNDUP(AE94,0))</f>
      </c>
      <c r="AG94" s="366">
        <f aca="true" t="shared" si="126" ref="AG94:AG108">IF($B94="","",VLOOKUP($B94,$AL$7:$AZ$44,15))</f>
      </c>
      <c r="AH94" s="367">
        <f aca="true" t="shared" si="127" ref="AH94:AH108">IF(B94="","",SUM(AG94*AF94))</f>
      </c>
    </row>
    <row r="95" spans="1:34" ht="14.25" customHeight="1">
      <c r="A95" s="399"/>
      <c r="B95" s="359"/>
      <c r="C95" s="360">
        <f t="shared" si="99"/>
      </c>
      <c r="D95" s="360">
        <f t="shared" si="100"/>
      </c>
      <c r="E95" s="360">
        <f t="shared" si="101"/>
      </c>
      <c r="F95" s="360">
        <f t="shared" si="102"/>
      </c>
      <c r="G95" s="360">
        <f t="shared" si="103"/>
      </c>
      <c r="H95" s="360">
        <f t="shared" si="104"/>
      </c>
      <c r="I95" s="360">
        <f t="shared" si="105"/>
      </c>
      <c r="J95" s="360">
        <f t="shared" si="106"/>
      </c>
      <c r="K95" s="360">
        <f t="shared" si="107"/>
      </c>
      <c r="L95" s="360">
        <f t="shared" si="108"/>
      </c>
      <c r="M95" s="360">
        <f t="shared" si="109"/>
      </c>
      <c r="N95" s="360">
        <f t="shared" si="110"/>
      </c>
      <c r="O95" s="368">
        <f t="shared" si="111"/>
      </c>
      <c r="P95" s="402"/>
      <c r="Q95" s="361">
        <f t="shared" si="112"/>
      </c>
      <c r="R95" s="361">
        <f t="shared" si="113"/>
      </c>
      <c r="S95" s="361">
        <f t="shared" si="114"/>
      </c>
      <c r="T95" s="361">
        <f t="shared" si="115"/>
      </c>
      <c r="U95" s="361">
        <f t="shared" si="116"/>
      </c>
      <c r="V95" s="361">
        <f t="shared" si="117"/>
      </c>
      <c r="W95" s="361">
        <f t="shared" si="118"/>
      </c>
      <c r="X95" s="361">
        <f t="shared" si="119"/>
      </c>
      <c r="Y95" s="361">
        <f t="shared" si="120"/>
      </c>
      <c r="Z95" s="361">
        <f t="shared" si="121"/>
      </c>
      <c r="AA95" s="361">
        <f t="shared" si="122"/>
      </c>
      <c r="AB95" s="361">
        <f t="shared" si="123"/>
      </c>
      <c r="AC95" s="362"/>
      <c r="AD95" s="363">
        <f aca="true" t="shared" si="128" ref="AD95:AD108">SUM($B$91*P95)/1000</f>
        <v>0</v>
      </c>
      <c r="AE95" s="364">
        <f t="shared" si="124"/>
      </c>
      <c r="AF95" s="365">
        <f t="shared" si="125"/>
      </c>
      <c r="AG95" s="366">
        <f t="shared" si="126"/>
      </c>
      <c r="AH95" s="367">
        <f t="shared" si="127"/>
      </c>
    </row>
    <row r="96" spans="1:34" ht="14.25" customHeight="1">
      <c r="A96" s="399"/>
      <c r="B96" s="359"/>
      <c r="C96" s="360">
        <f t="shared" si="99"/>
      </c>
      <c r="D96" s="360">
        <f t="shared" si="100"/>
      </c>
      <c r="E96" s="360">
        <f t="shared" si="101"/>
      </c>
      <c r="F96" s="360">
        <f t="shared" si="102"/>
      </c>
      <c r="G96" s="360">
        <f t="shared" si="103"/>
      </c>
      <c r="H96" s="360">
        <f t="shared" si="104"/>
      </c>
      <c r="I96" s="360">
        <f t="shared" si="105"/>
      </c>
      <c r="J96" s="360">
        <f t="shared" si="106"/>
      </c>
      <c r="K96" s="360">
        <f t="shared" si="107"/>
      </c>
      <c r="L96" s="360">
        <f t="shared" si="108"/>
      </c>
      <c r="M96" s="360">
        <f t="shared" si="109"/>
      </c>
      <c r="N96" s="360">
        <f t="shared" si="110"/>
      </c>
      <c r="O96" s="368">
        <f t="shared" si="111"/>
      </c>
      <c r="P96" s="402"/>
      <c r="Q96" s="361">
        <f t="shared" si="112"/>
      </c>
      <c r="R96" s="361">
        <f t="shared" si="113"/>
      </c>
      <c r="S96" s="361">
        <f t="shared" si="114"/>
      </c>
      <c r="T96" s="361">
        <f t="shared" si="115"/>
      </c>
      <c r="U96" s="361">
        <f t="shared" si="116"/>
      </c>
      <c r="V96" s="361">
        <f t="shared" si="117"/>
      </c>
      <c r="W96" s="361">
        <f t="shared" si="118"/>
      </c>
      <c r="X96" s="361">
        <f t="shared" si="119"/>
      </c>
      <c r="Y96" s="361">
        <f t="shared" si="120"/>
      </c>
      <c r="Z96" s="361">
        <f t="shared" si="121"/>
      </c>
      <c r="AA96" s="361">
        <f t="shared" si="122"/>
      </c>
      <c r="AB96" s="361">
        <f t="shared" si="123"/>
      </c>
      <c r="AC96" s="362"/>
      <c r="AD96" s="363">
        <f t="shared" si="128"/>
        <v>0</v>
      </c>
      <c r="AE96" s="364">
        <f t="shared" si="124"/>
      </c>
      <c r="AF96" s="365">
        <f t="shared" si="125"/>
      </c>
      <c r="AG96" s="366">
        <f t="shared" si="126"/>
      </c>
      <c r="AH96" s="367">
        <f t="shared" si="127"/>
      </c>
    </row>
    <row r="97" spans="1:34" ht="14.25" customHeight="1">
      <c r="A97" s="399"/>
      <c r="B97" s="359"/>
      <c r="C97" s="360">
        <f t="shared" si="99"/>
      </c>
      <c r="D97" s="360">
        <f t="shared" si="100"/>
      </c>
      <c r="E97" s="360">
        <f t="shared" si="101"/>
      </c>
      <c r="F97" s="360">
        <f t="shared" si="102"/>
      </c>
      <c r="G97" s="360">
        <f t="shared" si="103"/>
      </c>
      <c r="H97" s="360">
        <f t="shared" si="104"/>
      </c>
      <c r="I97" s="360">
        <f t="shared" si="105"/>
      </c>
      <c r="J97" s="360">
        <f t="shared" si="106"/>
      </c>
      <c r="K97" s="360">
        <f t="shared" si="107"/>
      </c>
      <c r="L97" s="360">
        <f t="shared" si="108"/>
      </c>
      <c r="M97" s="360">
        <f t="shared" si="109"/>
      </c>
      <c r="N97" s="360">
        <f t="shared" si="110"/>
      </c>
      <c r="O97" s="368">
        <f t="shared" si="111"/>
      </c>
      <c r="P97" s="402"/>
      <c r="Q97" s="361">
        <f t="shared" si="112"/>
      </c>
      <c r="R97" s="361">
        <f t="shared" si="113"/>
      </c>
      <c r="S97" s="361">
        <f t="shared" si="114"/>
      </c>
      <c r="T97" s="361">
        <f t="shared" si="115"/>
      </c>
      <c r="U97" s="361">
        <f t="shared" si="116"/>
      </c>
      <c r="V97" s="361">
        <f t="shared" si="117"/>
      </c>
      <c r="W97" s="361">
        <f t="shared" si="118"/>
      </c>
      <c r="X97" s="361">
        <f t="shared" si="119"/>
      </c>
      <c r="Y97" s="361">
        <f t="shared" si="120"/>
      </c>
      <c r="Z97" s="361">
        <f t="shared" si="121"/>
      </c>
      <c r="AA97" s="361">
        <f t="shared" si="122"/>
      </c>
      <c r="AB97" s="361">
        <f t="shared" si="123"/>
      </c>
      <c r="AC97" s="362"/>
      <c r="AD97" s="363">
        <f t="shared" si="128"/>
        <v>0</v>
      </c>
      <c r="AE97" s="364">
        <f t="shared" si="124"/>
      </c>
      <c r="AF97" s="365">
        <f t="shared" si="125"/>
      </c>
      <c r="AG97" s="366">
        <f t="shared" si="126"/>
      </c>
      <c r="AH97" s="367">
        <f t="shared" si="127"/>
      </c>
    </row>
    <row r="98" spans="1:34" ht="14.25" customHeight="1">
      <c r="A98" s="399"/>
      <c r="B98" s="359"/>
      <c r="C98" s="360">
        <f t="shared" si="99"/>
      </c>
      <c r="D98" s="360">
        <f t="shared" si="100"/>
      </c>
      <c r="E98" s="360">
        <f t="shared" si="101"/>
      </c>
      <c r="F98" s="360">
        <f t="shared" si="102"/>
      </c>
      <c r="G98" s="360">
        <f t="shared" si="103"/>
      </c>
      <c r="H98" s="360">
        <f t="shared" si="104"/>
      </c>
      <c r="I98" s="360">
        <f t="shared" si="105"/>
      </c>
      <c r="J98" s="360">
        <f t="shared" si="106"/>
      </c>
      <c r="K98" s="360">
        <f t="shared" si="107"/>
      </c>
      <c r="L98" s="360">
        <f t="shared" si="108"/>
      </c>
      <c r="M98" s="360">
        <f t="shared" si="109"/>
      </c>
      <c r="N98" s="360">
        <f t="shared" si="110"/>
      </c>
      <c r="O98" s="368">
        <f t="shared" si="111"/>
      </c>
      <c r="P98" s="402"/>
      <c r="Q98" s="361">
        <f t="shared" si="112"/>
      </c>
      <c r="R98" s="361">
        <f t="shared" si="113"/>
      </c>
      <c r="S98" s="361">
        <f t="shared" si="114"/>
      </c>
      <c r="T98" s="361">
        <f t="shared" si="115"/>
      </c>
      <c r="U98" s="361">
        <f t="shared" si="116"/>
      </c>
      <c r="V98" s="361">
        <f t="shared" si="117"/>
      </c>
      <c r="W98" s="361">
        <f t="shared" si="118"/>
      </c>
      <c r="X98" s="361">
        <f t="shared" si="119"/>
      </c>
      <c r="Y98" s="361">
        <f t="shared" si="120"/>
      </c>
      <c r="Z98" s="361">
        <f t="shared" si="121"/>
      </c>
      <c r="AA98" s="361">
        <f t="shared" si="122"/>
      </c>
      <c r="AB98" s="361">
        <f t="shared" si="123"/>
      </c>
      <c r="AC98" s="362"/>
      <c r="AD98" s="363">
        <f t="shared" si="128"/>
        <v>0</v>
      </c>
      <c r="AE98" s="364">
        <f t="shared" si="124"/>
      </c>
      <c r="AF98" s="365">
        <f t="shared" si="125"/>
      </c>
      <c r="AG98" s="366">
        <f t="shared" si="126"/>
      </c>
      <c r="AH98" s="367">
        <f t="shared" si="127"/>
      </c>
    </row>
    <row r="99" spans="1:34" ht="14.25" customHeight="1">
      <c r="A99" s="399"/>
      <c r="B99" s="359"/>
      <c r="C99" s="360">
        <f t="shared" si="99"/>
      </c>
      <c r="D99" s="360">
        <f t="shared" si="100"/>
      </c>
      <c r="E99" s="360">
        <f t="shared" si="101"/>
      </c>
      <c r="F99" s="360">
        <f t="shared" si="102"/>
      </c>
      <c r="G99" s="360">
        <f t="shared" si="103"/>
      </c>
      <c r="H99" s="360">
        <f t="shared" si="104"/>
      </c>
      <c r="I99" s="360">
        <f t="shared" si="105"/>
      </c>
      <c r="J99" s="360">
        <f t="shared" si="106"/>
      </c>
      <c r="K99" s="360">
        <f t="shared" si="107"/>
      </c>
      <c r="L99" s="360">
        <f t="shared" si="108"/>
      </c>
      <c r="M99" s="360">
        <f t="shared" si="109"/>
      </c>
      <c r="N99" s="360">
        <f t="shared" si="110"/>
      </c>
      <c r="O99" s="368">
        <f t="shared" si="111"/>
      </c>
      <c r="P99" s="402"/>
      <c r="Q99" s="361">
        <f t="shared" si="112"/>
      </c>
      <c r="R99" s="361">
        <f t="shared" si="113"/>
      </c>
      <c r="S99" s="361">
        <f t="shared" si="114"/>
      </c>
      <c r="T99" s="361">
        <f t="shared" si="115"/>
      </c>
      <c r="U99" s="361">
        <f t="shared" si="116"/>
      </c>
      <c r="V99" s="361">
        <f t="shared" si="117"/>
      </c>
      <c r="W99" s="361">
        <f t="shared" si="118"/>
      </c>
      <c r="X99" s="361">
        <f t="shared" si="119"/>
      </c>
      <c r="Y99" s="361">
        <f t="shared" si="120"/>
      </c>
      <c r="Z99" s="361">
        <f t="shared" si="121"/>
      </c>
      <c r="AA99" s="361">
        <f t="shared" si="122"/>
      </c>
      <c r="AB99" s="361">
        <f t="shared" si="123"/>
      </c>
      <c r="AC99" s="362"/>
      <c r="AD99" s="363">
        <f t="shared" si="128"/>
        <v>0</v>
      </c>
      <c r="AE99" s="364">
        <f t="shared" si="124"/>
      </c>
      <c r="AF99" s="365">
        <f t="shared" si="125"/>
      </c>
      <c r="AG99" s="366">
        <f t="shared" si="126"/>
      </c>
      <c r="AH99" s="367">
        <f t="shared" si="127"/>
      </c>
    </row>
    <row r="100" spans="1:34" ht="14.25" customHeight="1">
      <c r="A100" s="399"/>
      <c r="B100" s="359"/>
      <c r="C100" s="360">
        <f t="shared" si="99"/>
      </c>
      <c r="D100" s="360">
        <f t="shared" si="100"/>
      </c>
      <c r="E100" s="360">
        <f t="shared" si="101"/>
      </c>
      <c r="F100" s="360">
        <f t="shared" si="102"/>
      </c>
      <c r="G100" s="360">
        <f t="shared" si="103"/>
      </c>
      <c r="H100" s="360">
        <f t="shared" si="104"/>
      </c>
      <c r="I100" s="360">
        <f t="shared" si="105"/>
      </c>
      <c r="J100" s="360">
        <f t="shared" si="106"/>
      </c>
      <c r="K100" s="360">
        <f t="shared" si="107"/>
      </c>
      <c r="L100" s="360">
        <f t="shared" si="108"/>
      </c>
      <c r="M100" s="360">
        <f t="shared" si="109"/>
      </c>
      <c r="N100" s="360">
        <f t="shared" si="110"/>
      </c>
      <c r="O100" s="368">
        <f t="shared" si="111"/>
      </c>
      <c r="P100" s="402"/>
      <c r="Q100" s="361">
        <f t="shared" si="112"/>
      </c>
      <c r="R100" s="361">
        <f t="shared" si="113"/>
      </c>
      <c r="S100" s="361">
        <f t="shared" si="114"/>
      </c>
      <c r="T100" s="361">
        <f t="shared" si="115"/>
      </c>
      <c r="U100" s="361">
        <f t="shared" si="116"/>
      </c>
      <c r="V100" s="361">
        <f t="shared" si="117"/>
      </c>
      <c r="W100" s="361">
        <f t="shared" si="118"/>
      </c>
      <c r="X100" s="361">
        <f t="shared" si="119"/>
      </c>
      <c r="Y100" s="361">
        <f t="shared" si="120"/>
      </c>
      <c r="Z100" s="361">
        <f t="shared" si="121"/>
      </c>
      <c r="AA100" s="361">
        <f t="shared" si="122"/>
      </c>
      <c r="AB100" s="361">
        <f t="shared" si="123"/>
      </c>
      <c r="AC100" s="362"/>
      <c r="AD100" s="363">
        <f t="shared" si="128"/>
        <v>0</v>
      </c>
      <c r="AE100" s="364">
        <f t="shared" si="124"/>
      </c>
      <c r="AF100" s="365">
        <f t="shared" si="125"/>
      </c>
      <c r="AG100" s="366">
        <f t="shared" si="126"/>
      </c>
      <c r="AH100" s="367">
        <f t="shared" si="127"/>
      </c>
    </row>
    <row r="101" spans="1:34" ht="14.25" customHeight="1">
      <c r="A101" s="399"/>
      <c r="B101" s="359"/>
      <c r="C101" s="360">
        <f t="shared" si="99"/>
      </c>
      <c r="D101" s="360">
        <f t="shared" si="100"/>
      </c>
      <c r="E101" s="360">
        <f t="shared" si="101"/>
      </c>
      <c r="F101" s="360">
        <f t="shared" si="102"/>
      </c>
      <c r="G101" s="360">
        <f t="shared" si="103"/>
      </c>
      <c r="H101" s="360">
        <f t="shared" si="104"/>
      </c>
      <c r="I101" s="360">
        <f t="shared" si="105"/>
      </c>
      <c r="J101" s="360">
        <f t="shared" si="106"/>
      </c>
      <c r="K101" s="360">
        <f t="shared" si="107"/>
      </c>
      <c r="L101" s="360">
        <f t="shared" si="108"/>
      </c>
      <c r="M101" s="360">
        <f t="shared" si="109"/>
      </c>
      <c r="N101" s="360">
        <f t="shared" si="110"/>
      </c>
      <c r="O101" s="368">
        <f t="shared" si="111"/>
      </c>
      <c r="P101" s="402"/>
      <c r="Q101" s="361">
        <f t="shared" si="112"/>
      </c>
      <c r="R101" s="361">
        <f t="shared" si="113"/>
      </c>
      <c r="S101" s="361">
        <f t="shared" si="114"/>
      </c>
      <c r="T101" s="361">
        <f t="shared" si="115"/>
      </c>
      <c r="U101" s="361">
        <f t="shared" si="116"/>
      </c>
      <c r="V101" s="361">
        <f t="shared" si="117"/>
      </c>
      <c r="W101" s="361">
        <f t="shared" si="118"/>
      </c>
      <c r="X101" s="361">
        <f t="shared" si="119"/>
      </c>
      <c r="Y101" s="361">
        <f t="shared" si="120"/>
      </c>
      <c r="Z101" s="361">
        <f t="shared" si="121"/>
      </c>
      <c r="AA101" s="361">
        <f t="shared" si="122"/>
      </c>
      <c r="AB101" s="361">
        <f t="shared" si="123"/>
      </c>
      <c r="AC101" s="362"/>
      <c r="AD101" s="363">
        <f t="shared" si="128"/>
        <v>0</v>
      </c>
      <c r="AE101" s="364">
        <f t="shared" si="124"/>
      </c>
      <c r="AF101" s="365">
        <f t="shared" si="125"/>
      </c>
      <c r="AG101" s="366">
        <f t="shared" si="126"/>
      </c>
      <c r="AH101" s="367">
        <f t="shared" si="127"/>
      </c>
    </row>
    <row r="102" spans="1:34" ht="14.25" customHeight="1">
      <c r="A102" s="399"/>
      <c r="B102" s="359"/>
      <c r="C102" s="360">
        <f t="shared" si="99"/>
      </c>
      <c r="D102" s="360">
        <f t="shared" si="100"/>
      </c>
      <c r="E102" s="360">
        <f t="shared" si="101"/>
      </c>
      <c r="F102" s="360">
        <f t="shared" si="102"/>
      </c>
      <c r="G102" s="360">
        <f t="shared" si="103"/>
      </c>
      <c r="H102" s="360">
        <f t="shared" si="104"/>
      </c>
      <c r="I102" s="360">
        <f t="shared" si="105"/>
      </c>
      <c r="J102" s="360">
        <f t="shared" si="106"/>
      </c>
      <c r="K102" s="360">
        <f t="shared" si="107"/>
      </c>
      <c r="L102" s="360">
        <f t="shared" si="108"/>
      </c>
      <c r="M102" s="360">
        <f t="shared" si="109"/>
      </c>
      <c r="N102" s="360">
        <f t="shared" si="110"/>
      </c>
      <c r="O102" s="368">
        <f t="shared" si="111"/>
      </c>
      <c r="P102" s="402"/>
      <c r="Q102" s="361">
        <f t="shared" si="112"/>
      </c>
      <c r="R102" s="361">
        <f t="shared" si="113"/>
      </c>
      <c r="S102" s="361">
        <f t="shared" si="114"/>
      </c>
      <c r="T102" s="361">
        <f t="shared" si="115"/>
      </c>
      <c r="U102" s="361">
        <f t="shared" si="116"/>
      </c>
      <c r="V102" s="361">
        <f t="shared" si="117"/>
      </c>
      <c r="W102" s="361">
        <f t="shared" si="118"/>
      </c>
      <c r="X102" s="361">
        <f t="shared" si="119"/>
      </c>
      <c r="Y102" s="361">
        <f t="shared" si="120"/>
      </c>
      <c r="Z102" s="361">
        <f t="shared" si="121"/>
      </c>
      <c r="AA102" s="361">
        <f t="shared" si="122"/>
      </c>
      <c r="AB102" s="361">
        <f t="shared" si="123"/>
      </c>
      <c r="AC102" s="362"/>
      <c r="AD102" s="363">
        <f t="shared" si="128"/>
        <v>0</v>
      </c>
      <c r="AE102" s="364">
        <f t="shared" si="124"/>
      </c>
      <c r="AF102" s="365">
        <f t="shared" si="125"/>
      </c>
      <c r="AG102" s="366">
        <f t="shared" si="126"/>
      </c>
      <c r="AH102" s="367">
        <f t="shared" si="127"/>
      </c>
    </row>
    <row r="103" spans="1:34" ht="14.25" customHeight="1">
      <c r="A103" s="399"/>
      <c r="B103" s="359"/>
      <c r="C103" s="360">
        <f t="shared" si="99"/>
      </c>
      <c r="D103" s="360">
        <f t="shared" si="100"/>
      </c>
      <c r="E103" s="360">
        <f t="shared" si="101"/>
      </c>
      <c r="F103" s="360">
        <f t="shared" si="102"/>
      </c>
      <c r="G103" s="360">
        <f t="shared" si="103"/>
      </c>
      <c r="H103" s="360">
        <f t="shared" si="104"/>
      </c>
      <c r="I103" s="360">
        <f t="shared" si="105"/>
      </c>
      <c r="J103" s="360">
        <f t="shared" si="106"/>
      </c>
      <c r="K103" s="360">
        <f t="shared" si="107"/>
      </c>
      <c r="L103" s="360">
        <f t="shared" si="108"/>
      </c>
      <c r="M103" s="360">
        <f t="shared" si="109"/>
      </c>
      <c r="N103" s="360">
        <f t="shared" si="110"/>
      </c>
      <c r="O103" s="368">
        <f t="shared" si="111"/>
      </c>
      <c r="P103" s="402"/>
      <c r="Q103" s="361">
        <f t="shared" si="112"/>
      </c>
      <c r="R103" s="361">
        <f t="shared" si="113"/>
      </c>
      <c r="S103" s="361">
        <f t="shared" si="114"/>
      </c>
      <c r="T103" s="361">
        <f t="shared" si="115"/>
      </c>
      <c r="U103" s="361">
        <f t="shared" si="116"/>
      </c>
      <c r="V103" s="361">
        <f t="shared" si="117"/>
      </c>
      <c r="W103" s="361">
        <f t="shared" si="118"/>
      </c>
      <c r="X103" s="361">
        <f t="shared" si="119"/>
      </c>
      <c r="Y103" s="361">
        <f t="shared" si="120"/>
      </c>
      <c r="Z103" s="361">
        <f t="shared" si="121"/>
      </c>
      <c r="AA103" s="361">
        <f t="shared" si="122"/>
      </c>
      <c r="AB103" s="361">
        <f t="shared" si="123"/>
      </c>
      <c r="AC103" s="362"/>
      <c r="AD103" s="363">
        <f t="shared" si="128"/>
        <v>0</v>
      </c>
      <c r="AE103" s="364">
        <f t="shared" si="124"/>
      </c>
      <c r="AF103" s="365">
        <f t="shared" si="125"/>
      </c>
      <c r="AG103" s="366">
        <f t="shared" si="126"/>
      </c>
      <c r="AH103" s="367">
        <f t="shared" si="127"/>
      </c>
    </row>
    <row r="104" spans="1:34" ht="14.25" customHeight="1">
      <c r="A104" s="399"/>
      <c r="B104" s="359"/>
      <c r="C104" s="360">
        <f t="shared" si="99"/>
      </c>
      <c r="D104" s="360">
        <f t="shared" si="100"/>
      </c>
      <c r="E104" s="360">
        <f t="shared" si="101"/>
      </c>
      <c r="F104" s="360">
        <f t="shared" si="102"/>
      </c>
      <c r="G104" s="360">
        <f t="shared" si="103"/>
      </c>
      <c r="H104" s="360">
        <f t="shared" si="104"/>
      </c>
      <c r="I104" s="360">
        <f t="shared" si="105"/>
      </c>
      <c r="J104" s="360">
        <f t="shared" si="106"/>
      </c>
      <c r="K104" s="360">
        <f t="shared" si="107"/>
      </c>
      <c r="L104" s="360">
        <f t="shared" si="108"/>
      </c>
      <c r="M104" s="360">
        <f t="shared" si="109"/>
      </c>
      <c r="N104" s="360">
        <f t="shared" si="110"/>
      </c>
      <c r="O104" s="368">
        <f t="shared" si="111"/>
      </c>
      <c r="P104" s="402"/>
      <c r="Q104" s="361">
        <f t="shared" si="112"/>
      </c>
      <c r="R104" s="361">
        <f t="shared" si="113"/>
      </c>
      <c r="S104" s="361">
        <f t="shared" si="114"/>
      </c>
      <c r="T104" s="361">
        <f t="shared" si="115"/>
      </c>
      <c r="U104" s="361">
        <f t="shared" si="116"/>
      </c>
      <c r="V104" s="361">
        <f t="shared" si="117"/>
      </c>
      <c r="W104" s="361">
        <f t="shared" si="118"/>
      </c>
      <c r="X104" s="361">
        <f t="shared" si="119"/>
      </c>
      <c r="Y104" s="361">
        <f t="shared" si="120"/>
      </c>
      <c r="Z104" s="361">
        <f t="shared" si="121"/>
      </c>
      <c r="AA104" s="361">
        <f t="shared" si="122"/>
      </c>
      <c r="AB104" s="361">
        <f t="shared" si="123"/>
      </c>
      <c r="AC104" s="362"/>
      <c r="AD104" s="363">
        <f t="shared" si="128"/>
        <v>0</v>
      </c>
      <c r="AE104" s="364">
        <f t="shared" si="124"/>
      </c>
      <c r="AF104" s="365">
        <f t="shared" si="125"/>
      </c>
      <c r="AG104" s="366">
        <f t="shared" si="126"/>
      </c>
      <c r="AH104" s="367">
        <f t="shared" si="127"/>
      </c>
    </row>
    <row r="105" spans="1:34" ht="14.25" customHeight="1">
      <c r="A105" s="399"/>
      <c r="B105" s="359"/>
      <c r="C105" s="360">
        <f t="shared" si="99"/>
      </c>
      <c r="D105" s="360">
        <f t="shared" si="100"/>
      </c>
      <c r="E105" s="360">
        <f t="shared" si="101"/>
      </c>
      <c r="F105" s="360">
        <f t="shared" si="102"/>
      </c>
      <c r="G105" s="360">
        <f t="shared" si="103"/>
      </c>
      <c r="H105" s="360">
        <f t="shared" si="104"/>
      </c>
      <c r="I105" s="360">
        <f t="shared" si="105"/>
      </c>
      <c r="J105" s="360">
        <f t="shared" si="106"/>
      </c>
      <c r="K105" s="360">
        <f t="shared" si="107"/>
      </c>
      <c r="L105" s="360">
        <f t="shared" si="108"/>
      </c>
      <c r="M105" s="360">
        <f t="shared" si="109"/>
      </c>
      <c r="N105" s="360">
        <f t="shared" si="110"/>
      </c>
      <c r="O105" s="368">
        <f t="shared" si="111"/>
      </c>
      <c r="P105" s="402"/>
      <c r="Q105" s="361">
        <f t="shared" si="112"/>
      </c>
      <c r="R105" s="361">
        <f t="shared" si="113"/>
      </c>
      <c r="S105" s="361">
        <f t="shared" si="114"/>
      </c>
      <c r="T105" s="361">
        <f t="shared" si="115"/>
      </c>
      <c r="U105" s="361">
        <f t="shared" si="116"/>
      </c>
      <c r="V105" s="361">
        <f t="shared" si="117"/>
      </c>
      <c r="W105" s="361">
        <f t="shared" si="118"/>
      </c>
      <c r="X105" s="361">
        <f t="shared" si="119"/>
      </c>
      <c r="Y105" s="361">
        <f t="shared" si="120"/>
      </c>
      <c r="Z105" s="361">
        <f t="shared" si="121"/>
      </c>
      <c r="AA105" s="361">
        <f t="shared" si="122"/>
      </c>
      <c r="AB105" s="361">
        <f t="shared" si="123"/>
      </c>
      <c r="AC105" s="362"/>
      <c r="AD105" s="363">
        <f t="shared" si="128"/>
        <v>0</v>
      </c>
      <c r="AE105" s="364">
        <f t="shared" si="124"/>
      </c>
      <c r="AF105" s="365">
        <f t="shared" si="125"/>
      </c>
      <c r="AG105" s="366">
        <f t="shared" si="126"/>
      </c>
      <c r="AH105" s="367">
        <f t="shared" si="127"/>
      </c>
    </row>
    <row r="106" spans="1:34" ht="14.25" customHeight="1">
      <c r="A106" s="399"/>
      <c r="B106" s="359"/>
      <c r="C106" s="360">
        <f t="shared" si="99"/>
      </c>
      <c r="D106" s="360">
        <f t="shared" si="100"/>
      </c>
      <c r="E106" s="360">
        <f t="shared" si="101"/>
      </c>
      <c r="F106" s="360">
        <f t="shared" si="102"/>
      </c>
      <c r="G106" s="360">
        <f t="shared" si="103"/>
      </c>
      <c r="H106" s="360">
        <f t="shared" si="104"/>
      </c>
      <c r="I106" s="360">
        <f t="shared" si="105"/>
      </c>
      <c r="J106" s="360">
        <f t="shared" si="106"/>
      </c>
      <c r="K106" s="360">
        <f t="shared" si="107"/>
      </c>
      <c r="L106" s="360">
        <f t="shared" si="108"/>
      </c>
      <c r="M106" s="360">
        <f t="shared" si="109"/>
      </c>
      <c r="N106" s="360">
        <f t="shared" si="110"/>
      </c>
      <c r="O106" s="368">
        <f t="shared" si="111"/>
      </c>
      <c r="P106" s="402"/>
      <c r="Q106" s="361">
        <f t="shared" si="112"/>
      </c>
      <c r="R106" s="361">
        <f t="shared" si="113"/>
      </c>
      <c r="S106" s="361">
        <f t="shared" si="114"/>
      </c>
      <c r="T106" s="361">
        <f t="shared" si="115"/>
      </c>
      <c r="U106" s="361">
        <f t="shared" si="116"/>
      </c>
      <c r="V106" s="361">
        <f t="shared" si="117"/>
      </c>
      <c r="W106" s="361">
        <f t="shared" si="118"/>
      </c>
      <c r="X106" s="361">
        <f t="shared" si="119"/>
      </c>
      <c r="Y106" s="361">
        <f t="shared" si="120"/>
      </c>
      <c r="Z106" s="361">
        <f t="shared" si="121"/>
      </c>
      <c r="AA106" s="361">
        <f t="shared" si="122"/>
      </c>
      <c r="AB106" s="361">
        <f t="shared" si="123"/>
      </c>
      <c r="AC106" s="362"/>
      <c r="AD106" s="363">
        <f t="shared" si="128"/>
        <v>0</v>
      </c>
      <c r="AE106" s="364">
        <f t="shared" si="124"/>
      </c>
      <c r="AF106" s="365">
        <f t="shared" si="125"/>
      </c>
      <c r="AG106" s="366">
        <f t="shared" si="126"/>
      </c>
      <c r="AH106" s="367">
        <f t="shared" si="127"/>
      </c>
    </row>
    <row r="107" spans="1:34" ht="14.25" customHeight="1">
      <c r="A107" s="399"/>
      <c r="B107" s="359"/>
      <c r="C107" s="360">
        <f t="shared" si="99"/>
      </c>
      <c r="D107" s="360">
        <f t="shared" si="100"/>
      </c>
      <c r="E107" s="360">
        <f t="shared" si="101"/>
      </c>
      <c r="F107" s="360">
        <f t="shared" si="102"/>
      </c>
      <c r="G107" s="360">
        <f t="shared" si="103"/>
      </c>
      <c r="H107" s="360">
        <f t="shared" si="104"/>
      </c>
      <c r="I107" s="360">
        <f t="shared" si="105"/>
      </c>
      <c r="J107" s="360">
        <f t="shared" si="106"/>
      </c>
      <c r="K107" s="360">
        <f t="shared" si="107"/>
      </c>
      <c r="L107" s="360">
        <f t="shared" si="108"/>
      </c>
      <c r="M107" s="360">
        <f t="shared" si="109"/>
      </c>
      <c r="N107" s="360">
        <f t="shared" si="110"/>
      </c>
      <c r="O107" s="368">
        <f t="shared" si="111"/>
      </c>
      <c r="P107" s="402"/>
      <c r="Q107" s="361">
        <f t="shared" si="112"/>
      </c>
      <c r="R107" s="361">
        <f t="shared" si="113"/>
      </c>
      <c r="S107" s="361">
        <f t="shared" si="114"/>
      </c>
      <c r="T107" s="361">
        <f t="shared" si="115"/>
      </c>
      <c r="U107" s="361">
        <f t="shared" si="116"/>
      </c>
      <c r="V107" s="361">
        <f t="shared" si="117"/>
      </c>
      <c r="W107" s="361">
        <f t="shared" si="118"/>
      </c>
      <c r="X107" s="361">
        <f t="shared" si="119"/>
      </c>
      <c r="Y107" s="361">
        <f t="shared" si="120"/>
      </c>
      <c r="Z107" s="361">
        <f t="shared" si="121"/>
      </c>
      <c r="AA107" s="361">
        <f t="shared" si="122"/>
      </c>
      <c r="AB107" s="361">
        <f t="shared" si="123"/>
      </c>
      <c r="AC107" s="362"/>
      <c r="AD107" s="363">
        <f t="shared" si="128"/>
        <v>0</v>
      </c>
      <c r="AE107" s="364">
        <f t="shared" si="124"/>
      </c>
      <c r="AF107" s="365">
        <f t="shared" si="125"/>
      </c>
      <c r="AG107" s="366">
        <f t="shared" si="126"/>
      </c>
      <c r="AH107" s="367">
        <f t="shared" si="127"/>
      </c>
    </row>
    <row r="108" spans="1:34" ht="14.25" customHeight="1">
      <c r="A108" s="399"/>
      <c r="B108" s="359"/>
      <c r="C108" s="360">
        <f t="shared" si="99"/>
      </c>
      <c r="D108" s="360">
        <f t="shared" si="100"/>
      </c>
      <c r="E108" s="360">
        <f t="shared" si="101"/>
      </c>
      <c r="F108" s="360">
        <f t="shared" si="102"/>
      </c>
      <c r="G108" s="360">
        <f t="shared" si="103"/>
      </c>
      <c r="H108" s="360">
        <f t="shared" si="104"/>
      </c>
      <c r="I108" s="360">
        <f t="shared" si="105"/>
      </c>
      <c r="J108" s="360">
        <f t="shared" si="106"/>
      </c>
      <c r="K108" s="360">
        <f t="shared" si="107"/>
      </c>
      <c r="L108" s="360">
        <f t="shared" si="108"/>
      </c>
      <c r="M108" s="360">
        <f t="shared" si="109"/>
      </c>
      <c r="N108" s="360">
        <f t="shared" si="110"/>
      </c>
      <c r="O108" s="368">
        <f t="shared" si="111"/>
      </c>
      <c r="P108" s="402"/>
      <c r="Q108" s="361">
        <f t="shared" si="112"/>
      </c>
      <c r="R108" s="361">
        <f t="shared" si="113"/>
      </c>
      <c r="S108" s="361">
        <f t="shared" si="114"/>
      </c>
      <c r="T108" s="361">
        <f t="shared" si="115"/>
      </c>
      <c r="U108" s="361">
        <f t="shared" si="116"/>
      </c>
      <c r="V108" s="361">
        <f t="shared" si="117"/>
      </c>
      <c r="W108" s="361">
        <f t="shared" si="118"/>
      </c>
      <c r="X108" s="361">
        <f t="shared" si="119"/>
      </c>
      <c r="Y108" s="361">
        <f t="shared" si="120"/>
      </c>
      <c r="Z108" s="361">
        <f t="shared" si="121"/>
      </c>
      <c r="AA108" s="361">
        <f t="shared" si="122"/>
      </c>
      <c r="AB108" s="361">
        <f t="shared" si="123"/>
      </c>
      <c r="AC108" s="362"/>
      <c r="AD108" s="363">
        <f t="shared" si="128"/>
        <v>0</v>
      </c>
      <c r="AE108" s="364">
        <f t="shared" si="124"/>
      </c>
      <c r="AF108" s="365">
        <f t="shared" si="125"/>
      </c>
      <c r="AG108" s="366">
        <f t="shared" si="126"/>
      </c>
      <c r="AH108" s="367">
        <f t="shared" si="127"/>
      </c>
    </row>
    <row r="109" ht="12">
      <c r="AC109" s="370"/>
    </row>
    <row r="110" spans="15:34" ht="12.75" thickBot="1">
      <c r="O110" s="349" t="s">
        <v>269</v>
      </c>
      <c r="Q110" s="371">
        <f aca="true" t="shared" si="129" ref="Q110:AB110">SUM(Q94:Q108)</f>
        <v>0</v>
      </c>
      <c r="R110" s="371">
        <f t="shared" si="129"/>
        <v>0</v>
      </c>
      <c r="S110" s="371">
        <f t="shared" si="129"/>
        <v>0</v>
      </c>
      <c r="T110" s="371">
        <f t="shared" si="129"/>
        <v>0</v>
      </c>
      <c r="U110" s="371">
        <f t="shared" si="129"/>
        <v>0</v>
      </c>
      <c r="V110" s="371">
        <f t="shared" si="129"/>
        <v>0</v>
      </c>
      <c r="W110" s="371">
        <f t="shared" si="129"/>
        <v>0</v>
      </c>
      <c r="X110" s="371">
        <f t="shared" si="129"/>
        <v>0</v>
      </c>
      <c r="Y110" s="371">
        <f t="shared" si="129"/>
        <v>0</v>
      </c>
      <c r="Z110" s="371">
        <f t="shared" si="129"/>
        <v>0</v>
      </c>
      <c r="AA110" s="371">
        <f t="shared" si="129"/>
        <v>0</v>
      </c>
      <c r="AB110" s="371">
        <f t="shared" si="129"/>
        <v>0</v>
      </c>
      <c r="AD110" s="372">
        <f>SUM(AD94:AD108)</f>
        <v>0</v>
      </c>
      <c r="AE110" s="373">
        <f>SUM(AE94:AE108)</f>
        <v>0</v>
      </c>
      <c r="AF110" s="373">
        <f>SUM(AF94:AF108)</f>
        <v>0</v>
      </c>
      <c r="AG110" s="358"/>
      <c r="AH110" s="374">
        <f>SUM(AH94:AH108)</f>
        <v>0</v>
      </c>
    </row>
    <row r="111" spans="15:28" ht="12.75" thickTop="1">
      <c r="O111" s="349" t="s">
        <v>270</v>
      </c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</row>
    <row r="112" spans="15:28" ht="12">
      <c r="O112" s="375"/>
      <c r="P112" s="370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</row>
    <row r="113" spans="15:34" ht="12">
      <c r="O113" s="349" t="s">
        <v>271</v>
      </c>
      <c r="Q113" s="378">
        <f aca="true" t="shared" si="130" ref="Q113:AB113">SUM(Q110-Q111)</f>
        <v>0</v>
      </c>
      <c r="R113" s="378">
        <f t="shared" si="130"/>
        <v>0</v>
      </c>
      <c r="S113" s="378">
        <f t="shared" si="130"/>
        <v>0</v>
      </c>
      <c r="T113" s="378">
        <f t="shared" si="130"/>
        <v>0</v>
      </c>
      <c r="U113" s="378">
        <f t="shared" si="130"/>
        <v>0</v>
      </c>
      <c r="V113" s="378">
        <f t="shared" si="130"/>
        <v>0</v>
      </c>
      <c r="W113" s="378">
        <f t="shared" si="130"/>
        <v>0</v>
      </c>
      <c r="X113" s="378">
        <f t="shared" si="130"/>
        <v>0</v>
      </c>
      <c r="Y113" s="378">
        <f t="shared" si="130"/>
        <v>0</v>
      </c>
      <c r="Z113" s="378">
        <f t="shared" si="130"/>
        <v>0</v>
      </c>
      <c r="AA113" s="378">
        <f t="shared" si="130"/>
        <v>0</v>
      </c>
      <c r="AB113" s="378">
        <f t="shared" si="130"/>
        <v>0</v>
      </c>
      <c r="AF113" s="349" t="s">
        <v>273</v>
      </c>
      <c r="AH113" s="379"/>
    </row>
    <row r="114" spans="15:34" ht="12">
      <c r="O114" s="349"/>
      <c r="AF114" s="349" t="s">
        <v>274</v>
      </c>
      <c r="AH114" s="379">
        <f>SUM(AH110-AH113)</f>
        <v>0</v>
      </c>
    </row>
    <row r="115" spans="15:28" ht="12">
      <c r="O115" s="349" t="s">
        <v>272</v>
      </c>
      <c r="Q115" s="357" t="str">
        <f aca="true" t="shared" si="131" ref="Q115:AB115">IF(Q113&lt;0,"^","OK")</f>
        <v>OK</v>
      </c>
      <c r="R115" s="357" t="str">
        <f t="shared" si="131"/>
        <v>OK</v>
      </c>
      <c r="S115" s="357" t="str">
        <f t="shared" si="131"/>
        <v>OK</v>
      </c>
      <c r="T115" s="357" t="str">
        <f t="shared" si="131"/>
        <v>OK</v>
      </c>
      <c r="U115" s="357" t="str">
        <f t="shared" si="131"/>
        <v>OK</v>
      </c>
      <c r="V115" s="357" t="str">
        <f t="shared" si="131"/>
        <v>OK</v>
      </c>
      <c r="W115" s="357" t="str">
        <f t="shared" si="131"/>
        <v>OK</v>
      </c>
      <c r="X115" s="357" t="str">
        <f t="shared" si="131"/>
        <v>OK</v>
      </c>
      <c r="Y115" s="357" t="str">
        <f t="shared" si="131"/>
        <v>OK</v>
      </c>
      <c r="Z115" s="357" t="str">
        <f t="shared" si="131"/>
        <v>OK</v>
      </c>
      <c r="AA115" s="357" t="str">
        <f t="shared" si="131"/>
        <v>OK</v>
      </c>
      <c r="AB115" s="357" t="str">
        <f t="shared" si="131"/>
        <v>OK</v>
      </c>
    </row>
  </sheetData>
  <sheetProtection selectLockedCells="1"/>
  <mergeCells count="9">
    <mergeCell ref="C65:N65"/>
    <mergeCell ref="Q65:AB65"/>
    <mergeCell ref="C92:N92"/>
    <mergeCell ref="Q92:AB92"/>
    <mergeCell ref="C1:N1"/>
    <mergeCell ref="C5:N5"/>
    <mergeCell ref="Q5:AB5"/>
    <mergeCell ref="C32:N32"/>
    <mergeCell ref="Q32:AB32"/>
  </mergeCells>
  <dataValidations count="4">
    <dataValidation type="list" allowBlank="1" showErrorMessage="1" promptTitle="肥料選択" errorTitle="Error" error="Not appropriate selection." sqref="B94:B108 B34:B54 B67:B81 B7:B21">
      <formula1>$AL$7:$AL$44</formula1>
    </dataValidation>
    <dataValidation type="list" showErrorMessage="1" promptTitle="Time" prompt="Enter Date" sqref="A94:A108 A67:A81">
      <formula1>$AL$50:$AL$61</formula1>
    </dataValidation>
    <dataValidation type="list" allowBlank="1" showErrorMessage="1" sqref="A34:A54">
      <formula1>$AL$50:$AL$61</formula1>
    </dataValidation>
    <dataValidation type="list" showErrorMessage="1" promptTitle="Time" sqref="A7:A21">
      <formula1>$AL$50:$AL$61</formula1>
    </dataValidation>
  </dataValidations>
  <printOptions/>
  <pageMargins left="0.4" right="0.31" top="0.89" bottom="0.42" header="0.5" footer="0.33"/>
  <pageSetup horizontalDpi="600" verticalDpi="600" orientation="landscape" paperSize="9" scale="65" r:id="rId1"/>
  <headerFooter alignWithMargins="0">
    <oddHeader>&amp;L&amp;D&amp;C&amp;"ＭＳ Ｐゴシック,標準"&amp;18肥料設計書&amp;R
&amp;"ＭＳ Ｐゴシック,標準"シンプロットT&amp;H正規業務委託代理店
（有）ヒューエンタープライズ</oddHeader>
  </headerFooter>
  <rowBreaks count="1" manualBreakCount="1">
    <brk id="62" max="33" man="1"/>
  </rowBreaks>
  <colBreaks count="1" manualBreakCount="1"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workbookViewId="0" topLeftCell="A1">
      <selection activeCell="AN27" sqref="AN27"/>
    </sheetView>
  </sheetViews>
  <sheetFormatPr defaultColWidth="9.140625" defaultRowHeight="12.75"/>
  <cols>
    <col min="1" max="1" width="10.8515625" style="267" customWidth="1"/>
    <col min="2" max="2" width="26.7109375" style="267" customWidth="1"/>
    <col min="3" max="4" width="3.7109375" style="267" customWidth="1"/>
    <col min="5" max="5" width="3.421875" style="267" customWidth="1"/>
    <col min="6" max="6" width="4.7109375" style="267" customWidth="1"/>
    <col min="7" max="7" width="4.28125" style="267" customWidth="1"/>
    <col min="8" max="8" width="4.57421875" style="267" customWidth="1"/>
    <col min="9" max="13" width="4.140625" style="267" bestFit="1" customWidth="1"/>
    <col min="14" max="14" width="4.00390625" style="267" customWidth="1"/>
    <col min="15" max="15" width="7.421875" style="267" customWidth="1"/>
    <col min="16" max="16" width="9.421875" style="267" customWidth="1"/>
    <col min="17" max="17" width="12.8515625" style="267" customWidth="1"/>
    <col min="18" max="18" width="9.7109375" style="267" customWidth="1"/>
    <col min="19" max="19" width="10.28125" style="267" customWidth="1"/>
    <col min="20" max="20" width="12.7109375" style="267" customWidth="1"/>
    <col min="21" max="21" width="9.57421875" style="267" customWidth="1"/>
    <col min="22" max="22" width="11.57421875" style="267" bestFit="1" customWidth="1"/>
    <col min="23" max="16384" width="9.140625" style="267" customWidth="1"/>
  </cols>
  <sheetData>
    <row r="1" spans="2:16" ht="12.75">
      <c r="B1" s="268" t="s">
        <v>210</v>
      </c>
      <c r="O1" s="268" t="s">
        <v>211</v>
      </c>
      <c r="P1" s="268">
        <v>120</v>
      </c>
    </row>
    <row r="2" ht="13.5" thickBot="1"/>
    <row r="3" spans="2:22" ht="13.5" customHeight="1" thickBot="1" thickTop="1">
      <c r="B3" s="272"/>
      <c r="C3" s="415" t="s">
        <v>212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7"/>
      <c r="O3" s="418" t="s">
        <v>213</v>
      </c>
      <c r="P3" s="419"/>
      <c r="Q3" s="420"/>
      <c r="R3" s="421" t="s">
        <v>214</v>
      </c>
      <c r="S3" s="422"/>
      <c r="T3" s="422"/>
      <c r="U3" s="422"/>
      <c r="V3" s="423"/>
    </row>
    <row r="4" spans="1:22" ht="25.5" customHeight="1" thickBot="1" thickTop="1">
      <c r="A4" s="273" t="s">
        <v>215</v>
      </c>
      <c r="B4" s="274" t="s">
        <v>164</v>
      </c>
      <c r="C4" s="275" t="s">
        <v>140</v>
      </c>
      <c r="D4" s="276" t="s">
        <v>241</v>
      </c>
      <c r="E4" s="276" t="s">
        <v>242</v>
      </c>
      <c r="F4" s="275" t="s">
        <v>32</v>
      </c>
      <c r="G4" s="275" t="s">
        <v>35</v>
      </c>
      <c r="H4" s="275" t="s">
        <v>165</v>
      </c>
      <c r="I4" s="275" t="s">
        <v>142</v>
      </c>
      <c r="J4" s="275" t="s">
        <v>43</v>
      </c>
      <c r="K4" s="275" t="s">
        <v>46</v>
      </c>
      <c r="L4" s="275" t="s">
        <v>49</v>
      </c>
      <c r="M4" s="275" t="s">
        <v>52</v>
      </c>
      <c r="N4" s="275" t="s">
        <v>55</v>
      </c>
      <c r="O4" s="277" t="s">
        <v>159</v>
      </c>
      <c r="P4" s="278" t="s">
        <v>216</v>
      </c>
      <c r="Q4" s="279" t="s">
        <v>217</v>
      </c>
      <c r="R4" s="280" t="s">
        <v>159</v>
      </c>
      <c r="S4" s="281" t="s">
        <v>216</v>
      </c>
      <c r="T4" s="282" t="s">
        <v>217</v>
      </c>
      <c r="U4" s="283" t="s">
        <v>218</v>
      </c>
      <c r="V4" s="283" t="s">
        <v>219</v>
      </c>
    </row>
    <row r="5" spans="1:22" ht="13.5" thickTop="1">
      <c r="A5" s="284" t="s">
        <v>220</v>
      </c>
      <c r="B5" s="285" t="s">
        <v>161</v>
      </c>
      <c r="C5" s="286">
        <v>21</v>
      </c>
      <c r="D5" s="287">
        <v>0</v>
      </c>
      <c r="E5" s="287">
        <v>0</v>
      </c>
      <c r="F5" s="288"/>
      <c r="G5" s="288"/>
      <c r="H5" s="288"/>
      <c r="I5" s="288"/>
      <c r="J5" s="288"/>
      <c r="K5" s="288"/>
      <c r="L5" s="288"/>
      <c r="M5" s="288"/>
      <c r="N5" s="288"/>
      <c r="O5" s="289">
        <v>50</v>
      </c>
      <c r="P5" s="290">
        <v>5</v>
      </c>
      <c r="Q5" s="291">
        <f aca="true" t="shared" si="0" ref="Q5:Q30">SUM(P5+(O5*0.1))</f>
        <v>10</v>
      </c>
      <c r="R5" s="292">
        <f aca="true" t="shared" si="1" ref="R5:R17">SUM(O5*0.4536)</f>
        <v>22.68</v>
      </c>
      <c r="S5" s="293">
        <f aca="true" t="shared" si="2" ref="S5:S17">SUM(P5*$P$1)</f>
        <v>600</v>
      </c>
      <c r="T5" s="293">
        <f aca="true" t="shared" si="3" ref="T5:T17">SUM(Q5*$P$1)</f>
        <v>1200</v>
      </c>
      <c r="U5" s="293">
        <f aca="true" t="shared" si="4" ref="U5:U30">IF(R5=0,0,T5/R5)</f>
        <v>52.91005291005291</v>
      </c>
      <c r="V5" s="294">
        <f aca="true" t="shared" si="5" ref="V5:V10">IF(R5=0,0,T5/((R5*1000)*C5/100))</f>
        <v>0.25195263290501385</v>
      </c>
    </row>
    <row r="6" spans="1:22" ht="12.75">
      <c r="A6" s="295" t="s">
        <v>220</v>
      </c>
      <c r="B6" s="296" t="s">
        <v>162</v>
      </c>
      <c r="C6" s="297">
        <v>28</v>
      </c>
      <c r="D6" s="298">
        <v>8</v>
      </c>
      <c r="E6" s="298">
        <v>18</v>
      </c>
      <c r="F6" s="299"/>
      <c r="G6" s="299"/>
      <c r="H6" s="299"/>
      <c r="I6" s="299"/>
      <c r="J6" s="299"/>
      <c r="K6" s="299"/>
      <c r="L6" s="299"/>
      <c r="M6" s="299"/>
      <c r="N6" s="299"/>
      <c r="O6" s="300"/>
      <c r="P6" s="301"/>
      <c r="Q6" s="302">
        <f t="shared" si="0"/>
        <v>0</v>
      </c>
      <c r="R6" s="303">
        <f t="shared" si="1"/>
        <v>0</v>
      </c>
      <c r="S6" s="304">
        <f t="shared" si="2"/>
        <v>0</v>
      </c>
      <c r="T6" s="304">
        <f t="shared" si="3"/>
        <v>0</v>
      </c>
      <c r="U6" s="304">
        <f t="shared" si="4"/>
        <v>0</v>
      </c>
      <c r="V6" s="305">
        <f t="shared" si="5"/>
        <v>0</v>
      </c>
    </row>
    <row r="7" spans="1:22" ht="12.75">
      <c r="A7" s="295" t="s">
        <v>220</v>
      </c>
      <c r="B7" s="306" t="s">
        <v>163</v>
      </c>
      <c r="C7" s="307">
        <v>11</v>
      </c>
      <c r="D7" s="308">
        <v>55</v>
      </c>
      <c r="E7" s="308">
        <v>0</v>
      </c>
      <c r="F7" s="299"/>
      <c r="G7" s="299"/>
      <c r="H7" s="299"/>
      <c r="I7" s="299"/>
      <c r="J7" s="299"/>
      <c r="K7" s="299"/>
      <c r="L7" s="299"/>
      <c r="M7" s="299"/>
      <c r="N7" s="299"/>
      <c r="O7" s="270">
        <v>50</v>
      </c>
      <c r="P7" s="309">
        <v>14.6</v>
      </c>
      <c r="Q7" s="310">
        <f t="shared" si="0"/>
        <v>19.6</v>
      </c>
      <c r="R7" s="311">
        <f t="shared" si="1"/>
        <v>22.68</v>
      </c>
      <c r="S7" s="312">
        <f t="shared" si="2"/>
        <v>1752</v>
      </c>
      <c r="T7" s="312">
        <f t="shared" si="3"/>
        <v>2352</v>
      </c>
      <c r="U7" s="312">
        <f t="shared" si="4"/>
        <v>103.70370370370371</v>
      </c>
      <c r="V7" s="313">
        <f t="shared" si="5"/>
        <v>0.9427609427609427</v>
      </c>
    </row>
    <row r="8" spans="1:22" ht="12.75">
      <c r="A8" s="314" t="s">
        <v>220</v>
      </c>
      <c r="B8" s="315" t="s">
        <v>180</v>
      </c>
      <c r="C8" s="316">
        <v>25</v>
      </c>
      <c r="D8" s="317">
        <v>5</v>
      </c>
      <c r="E8" s="317">
        <v>5</v>
      </c>
      <c r="F8" s="318"/>
      <c r="G8" s="318">
        <v>0.9</v>
      </c>
      <c r="H8" s="318">
        <v>11</v>
      </c>
      <c r="I8" s="318"/>
      <c r="J8" s="318"/>
      <c r="K8" s="318"/>
      <c r="L8" s="318"/>
      <c r="M8" s="318"/>
      <c r="N8" s="318"/>
      <c r="O8" s="319">
        <v>50</v>
      </c>
      <c r="P8" s="320">
        <v>13.6</v>
      </c>
      <c r="Q8" s="321">
        <f t="shared" si="0"/>
        <v>18.6</v>
      </c>
      <c r="R8" s="322">
        <f t="shared" si="1"/>
        <v>22.68</v>
      </c>
      <c r="S8" s="323">
        <f t="shared" si="2"/>
        <v>1632</v>
      </c>
      <c r="T8" s="323">
        <f t="shared" si="3"/>
        <v>2232</v>
      </c>
      <c r="U8" s="323">
        <f t="shared" si="4"/>
        <v>98.41269841269842</v>
      </c>
      <c r="V8" s="324">
        <f t="shared" si="5"/>
        <v>0.39365079365079364</v>
      </c>
    </row>
    <row r="9" spans="1:22" ht="12.75">
      <c r="A9" s="314" t="s">
        <v>220</v>
      </c>
      <c r="B9" s="315" t="s">
        <v>168</v>
      </c>
      <c r="C9" s="316">
        <v>22</v>
      </c>
      <c r="D9" s="317">
        <v>2</v>
      </c>
      <c r="E9" s="317">
        <v>22</v>
      </c>
      <c r="F9" s="318"/>
      <c r="G9" s="318"/>
      <c r="H9" s="318">
        <v>14</v>
      </c>
      <c r="I9" s="318"/>
      <c r="J9" s="318"/>
      <c r="K9" s="318"/>
      <c r="L9" s="318"/>
      <c r="M9" s="318"/>
      <c r="N9" s="318"/>
      <c r="O9" s="319">
        <v>50</v>
      </c>
      <c r="P9" s="320">
        <v>14.75</v>
      </c>
      <c r="Q9" s="321">
        <f t="shared" si="0"/>
        <v>19.75</v>
      </c>
      <c r="R9" s="322">
        <f t="shared" si="1"/>
        <v>22.68</v>
      </c>
      <c r="S9" s="323">
        <f t="shared" si="2"/>
        <v>1770</v>
      </c>
      <c r="T9" s="323">
        <f t="shared" si="3"/>
        <v>2370</v>
      </c>
      <c r="U9" s="323">
        <f t="shared" si="4"/>
        <v>104.4973544973545</v>
      </c>
      <c r="V9" s="324">
        <f t="shared" si="5"/>
        <v>0.47498797498797496</v>
      </c>
    </row>
    <row r="10" spans="1:22" ht="12.75">
      <c r="A10" s="314" t="s">
        <v>220</v>
      </c>
      <c r="B10" s="315" t="s">
        <v>167</v>
      </c>
      <c r="C10" s="316">
        <v>21</v>
      </c>
      <c r="D10" s="317">
        <v>2</v>
      </c>
      <c r="E10" s="317">
        <v>21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9">
        <v>50</v>
      </c>
      <c r="P10" s="320">
        <v>15.75</v>
      </c>
      <c r="Q10" s="321">
        <f t="shared" si="0"/>
        <v>20.75</v>
      </c>
      <c r="R10" s="322">
        <f t="shared" si="1"/>
        <v>22.68</v>
      </c>
      <c r="S10" s="323">
        <f t="shared" si="2"/>
        <v>1890</v>
      </c>
      <c r="T10" s="323">
        <f t="shared" si="3"/>
        <v>2490</v>
      </c>
      <c r="U10" s="323">
        <f t="shared" si="4"/>
        <v>109.78835978835978</v>
      </c>
      <c r="V10" s="324">
        <f t="shared" si="5"/>
        <v>0.5228017132779037</v>
      </c>
    </row>
    <row r="11" spans="1:22" ht="12.75">
      <c r="A11" s="295" t="s">
        <v>220</v>
      </c>
      <c r="B11" s="325" t="s">
        <v>169</v>
      </c>
      <c r="C11" s="307"/>
      <c r="D11" s="308"/>
      <c r="E11" s="308"/>
      <c r="F11" s="299">
        <v>22</v>
      </c>
      <c r="G11" s="299">
        <v>10</v>
      </c>
      <c r="H11" s="299"/>
      <c r="I11" s="299"/>
      <c r="J11" s="299"/>
      <c r="K11" s="299"/>
      <c r="L11" s="299"/>
      <c r="M11" s="299"/>
      <c r="N11" s="299"/>
      <c r="O11" s="270">
        <v>50</v>
      </c>
      <c r="P11" s="309">
        <v>6.4</v>
      </c>
      <c r="Q11" s="310">
        <f t="shared" si="0"/>
        <v>11.4</v>
      </c>
      <c r="R11" s="311">
        <f t="shared" si="1"/>
        <v>22.68</v>
      </c>
      <c r="S11" s="312">
        <f t="shared" si="2"/>
        <v>768</v>
      </c>
      <c r="T11" s="312">
        <f t="shared" si="3"/>
        <v>1368</v>
      </c>
      <c r="U11" s="312">
        <f t="shared" si="4"/>
        <v>60.317460317460316</v>
      </c>
      <c r="V11" s="313"/>
    </row>
    <row r="12" spans="1:22" ht="12.75">
      <c r="A12" s="295" t="s">
        <v>220</v>
      </c>
      <c r="B12" s="306" t="s">
        <v>170</v>
      </c>
      <c r="C12" s="307">
        <v>34</v>
      </c>
      <c r="D12" s="308">
        <v>3</v>
      </c>
      <c r="E12" s="308">
        <v>7</v>
      </c>
      <c r="F12" s="299"/>
      <c r="G12" s="299"/>
      <c r="H12" s="299">
        <v>3</v>
      </c>
      <c r="I12" s="299"/>
      <c r="J12" s="299"/>
      <c r="K12" s="299"/>
      <c r="L12" s="299"/>
      <c r="M12" s="299"/>
      <c r="N12" s="299"/>
      <c r="O12" s="270">
        <v>50</v>
      </c>
      <c r="P12" s="309">
        <v>13.3</v>
      </c>
      <c r="Q12" s="310">
        <f t="shared" si="0"/>
        <v>18.3</v>
      </c>
      <c r="R12" s="311">
        <f t="shared" si="1"/>
        <v>22.68</v>
      </c>
      <c r="S12" s="312">
        <f t="shared" si="2"/>
        <v>1596</v>
      </c>
      <c r="T12" s="312">
        <f t="shared" si="3"/>
        <v>2196</v>
      </c>
      <c r="U12" s="312">
        <f t="shared" si="4"/>
        <v>96.82539682539682</v>
      </c>
      <c r="V12" s="313">
        <f>IF(R12=0,0,T12/((R12*1000)*C12/100))</f>
        <v>0.28478057889822594</v>
      </c>
    </row>
    <row r="13" spans="1:22" ht="12.75">
      <c r="A13" s="295" t="s">
        <v>220</v>
      </c>
      <c r="B13" s="306" t="s">
        <v>171</v>
      </c>
      <c r="C13" s="307">
        <v>10</v>
      </c>
      <c r="D13" s="308">
        <v>21</v>
      </c>
      <c r="E13" s="308">
        <v>21</v>
      </c>
      <c r="F13" s="299"/>
      <c r="G13" s="299"/>
      <c r="H13" s="299">
        <v>7.1</v>
      </c>
      <c r="I13" s="299"/>
      <c r="J13" s="299">
        <v>1.4</v>
      </c>
      <c r="K13" s="299"/>
      <c r="L13" s="299"/>
      <c r="M13" s="299"/>
      <c r="N13" s="299"/>
      <c r="O13" s="270">
        <v>50</v>
      </c>
      <c r="P13" s="309">
        <v>23.4</v>
      </c>
      <c r="Q13" s="310">
        <f t="shared" si="0"/>
        <v>28.4</v>
      </c>
      <c r="R13" s="311">
        <f t="shared" si="1"/>
        <v>22.68</v>
      </c>
      <c r="S13" s="312">
        <f t="shared" si="2"/>
        <v>2808</v>
      </c>
      <c r="T13" s="312">
        <f t="shared" si="3"/>
        <v>3408</v>
      </c>
      <c r="U13" s="312">
        <f t="shared" si="4"/>
        <v>150.26455026455028</v>
      </c>
      <c r="V13" s="313">
        <f>IF(R13=0,0,T13/((R13*1000)*C13/100))</f>
        <v>1.5026455026455026</v>
      </c>
    </row>
    <row r="14" spans="1:22" ht="12.75">
      <c r="A14" s="295" t="s">
        <v>220</v>
      </c>
      <c r="B14" s="306" t="s">
        <v>172</v>
      </c>
      <c r="C14" s="307">
        <v>17</v>
      </c>
      <c r="D14" s="308">
        <v>3</v>
      </c>
      <c r="E14" s="308">
        <v>19</v>
      </c>
      <c r="F14" s="299"/>
      <c r="G14" s="299">
        <v>0.6</v>
      </c>
      <c r="H14" s="299">
        <v>16</v>
      </c>
      <c r="I14" s="299"/>
      <c r="J14" s="299">
        <v>1</v>
      </c>
      <c r="K14" s="299"/>
      <c r="L14" s="299"/>
      <c r="M14" s="299"/>
      <c r="N14" s="299"/>
      <c r="O14" s="270">
        <v>50</v>
      </c>
      <c r="P14" s="309">
        <v>21.9</v>
      </c>
      <c r="Q14" s="310">
        <f t="shared" si="0"/>
        <v>26.9</v>
      </c>
      <c r="R14" s="311">
        <f t="shared" si="1"/>
        <v>22.68</v>
      </c>
      <c r="S14" s="312">
        <f t="shared" si="2"/>
        <v>2628</v>
      </c>
      <c r="T14" s="312">
        <f t="shared" si="3"/>
        <v>3228</v>
      </c>
      <c r="U14" s="312">
        <f t="shared" si="4"/>
        <v>142.32804232804233</v>
      </c>
      <c r="V14" s="313">
        <f>IF(R14=0,0,T14/((R14*1000)*C14/100))</f>
        <v>0.837223778400249</v>
      </c>
    </row>
    <row r="15" spans="1:22" ht="12.75">
      <c r="A15" s="295" t="s">
        <v>220</v>
      </c>
      <c r="B15" s="306" t="s">
        <v>173</v>
      </c>
      <c r="C15" s="307">
        <v>18</v>
      </c>
      <c r="D15" s="308">
        <v>2</v>
      </c>
      <c r="E15" s="308">
        <v>24</v>
      </c>
      <c r="F15" s="299"/>
      <c r="G15" s="299"/>
      <c r="H15" s="299">
        <v>8.2</v>
      </c>
      <c r="I15" s="299">
        <v>0.1</v>
      </c>
      <c r="J15" s="299">
        <v>0.5</v>
      </c>
      <c r="K15" s="299">
        <v>0.3</v>
      </c>
      <c r="L15" s="299">
        <v>0.3</v>
      </c>
      <c r="M15" s="299">
        <v>0.3</v>
      </c>
      <c r="N15" s="299"/>
      <c r="O15" s="270">
        <v>50</v>
      </c>
      <c r="P15" s="309">
        <v>24</v>
      </c>
      <c r="Q15" s="310">
        <f t="shared" si="0"/>
        <v>29</v>
      </c>
      <c r="R15" s="311">
        <f t="shared" si="1"/>
        <v>22.68</v>
      </c>
      <c r="S15" s="312">
        <f t="shared" si="2"/>
        <v>2880</v>
      </c>
      <c r="T15" s="312">
        <f t="shared" si="3"/>
        <v>3480</v>
      </c>
      <c r="U15" s="312">
        <f t="shared" si="4"/>
        <v>153.43915343915344</v>
      </c>
      <c r="V15" s="313">
        <f>IF(R15=0,0,T15/((R15*1000)*C15/100))</f>
        <v>0.8524397413286302</v>
      </c>
    </row>
    <row r="16" spans="1:22" ht="12.75">
      <c r="A16" s="295" t="s">
        <v>220</v>
      </c>
      <c r="B16" s="306" t="s">
        <v>174</v>
      </c>
      <c r="C16" s="307">
        <v>20</v>
      </c>
      <c r="D16" s="308">
        <v>3</v>
      </c>
      <c r="E16" s="308">
        <v>20</v>
      </c>
      <c r="F16" s="299"/>
      <c r="G16" s="299">
        <v>0.3</v>
      </c>
      <c r="H16" s="299">
        <v>6.8</v>
      </c>
      <c r="I16" s="299">
        <v>0.1</v>
      </c>
      <c r="J16" s="299">
        <v>0.6</v>
      </c>
      <c r="K16" s="299"/>
      <c r="L16" s="299">
        <v>0.3</v>
      </c>
      <c r="M16" s="299">
        <v>0.3</v>
      </c>
      <c r="N16" s="299"/>
      <c r="O16" s="270">
        <v>50</v>
      </c>
      <c r="P16" s="309">
        <v>28</v>
      </c>
      <c r="Q16" s="310">
        <f t="shared" si="0"/>
        <v>33</v>
      </c>
      <c r="R16" s="311">
        <f t="shared" si="1"/>
        <v>22.68</v>
      </c>
      <c r="S16" s="312">
        <f t="shared" si="2"/>
        <v>3360</v>
      </c>
      <c r="T16" s="312">
        <f t="shared" si="3"/>
        <v>3960</v>
      </c>
      <c r="U16" s="312">
        <f t="shared" si="4"/>
        <v>174.6031746031746</v>
      </c>
      <c r="V16" s="313">
        <f>IF(R16=0,0,T16/((R16*1000)*C16/100))</f>
        <v>0.873015873015873</v>
      </c>
    </row>
    <row r="17" spans="1:22" ht="12.75">
      <c r="A17" s="295" t="s">
        <v>220</v>
      </c>
      <c r="B17" s="306" t="s">
        <v>175</v>
      </c>
      <c r="C17" s="307"/>
      <c r="D17" s="308"/>
      <c r="E17" s="308"/>
      <c r="F17" s="299">
        <v>38</v>
      </c>
      <c r="G17" s="299"/>
      <c r="H17" s="299"/>
      <c r="I17" s="299"/>
      <c r="J17" s="299"/>
      <c r="K17" s="299"/>
      <c r="L17" s="299"/>
      <c r="M17" s="299"/>
      <c r="N17" s="299"/>
      <c r="O17" s="270">
        <v>50</v>
      </c>
      <c r="P17" s="309">
        <v>5.9</v>
      </c>
      <c r="Q17" s="310">
        <f t="shared" si="0"/>
        <v>10.9</v>
      </c>
      <c r="R17" s="311">
        <f t="shared" si="1"/>
        <v>22.68</v>
      </c>
      <c r="S17" s="312">
        <f t="shared" si="2"/>
        <v>708</v>
      </c>
      <c r="T17" s="312">
        <f t="shared" si="3"/>
        <v>1308</v>
      </c>
      <c r="U17" s="312">
        <f t="shared" si="4"/>
        <v>57.67195767195767</v>
      </c>
      <c r="V17" s="313"/>
    </row>
    <row r="18" spans="1:22" ht="12.75">
      <c r="A18" s="295" t="s">
        <v>221</v>
      </c>
      <c r="B18" s="306" t="s">
        <v>176</v>
      </c>
      <c r="C18" s="271">
        <v>8</v>
      </c>
      <c r="D18" s="326">
        <v>8</v>
      </c>
      <c r="E18" s="326">
        <v>8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70"/>
      <c r="P18" s="309"/>
      <c r="Q18" s="310">
        <f t="shared" si="0"/>
        <v>0</v>
      </c>
      <c r="R18" s="311">
        <v>20</v>
      </c>
      <c r="S18" s="312">
        <f aca="true" t="shared" si="6" ref="S18:S30">SUM(P18*$P$1)</f>
        <v>0</v>
      </c>
      <c r="T18" s="312">
        <v>950</v>
      </c>
      <c r="U18" s="312">
        <f t="shared" si="4"/>
        <v>47.5</v>
      </c>
      <c r="V18" s="313">
        <f aca="true" t="shared" si="7" ref="V18:V30">IF(R18=0,0,T18/((R18*1000)*C18/100))</f>
        <v>0.59375</v>
      </c>
    </row>
    <row r="19" spans="1:22" ht="12.75">
      <c r="A19" s="295" t="s">
        <v>220</v>
      </c>
      <c r="B19" s="306" t="s">
        <v>177</v>
      </c>
      <c r="C19" s="307">
        <v>0</v>
      </c>
      <c r="D19" s="308">
        <v>0</v>
      </c>
      <c r="E19" s="308">
        <v>50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70">
        <v>50</v>
      </c>
      <c r="P19" s="309">
        <v>12.2</v>
      </c>
      <c r="Q19" s="310">
        <f t="shared" si="0"/>
        <v>17.2</v>
      </c>
      <c r="R19" s="311">
        <f>SUM(O19*0.4536)</f>
        <v>22.68</v>
      </c>
      <c r="S19" s="312">
        <f t="shared" si="6"/>
        <v>1464</v>
      </c>
      <c r="T19" s="312">
        <f>SUM(Q19*$P$1)</f>
        <v>2064</v>
      </c>
      <c r="U19" s="312">
        <f t="shared" si="4"/>
        <v>91.005291005291</v>
      </c>
      <c r="V19" s="313" t="e">
        <f t="shared" si="7"/>
        <v>#DIV/0!</v>
      </c>
    </row>
    <row r="20" spans="1:22" ht="12.75">
      <c r="A20" s="295" t="s">
        <v>220</v>
      </c>
      <c r="B20" s="306" t="s">
        <v>178</v>
      </c>
      <c r="C20" s="307">
        <v>0</v>
      </c>
      <c r="D20" s="308">
        <v>0</v>
      </c>
      <c r="E20" s="308">
        <v>50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70">
        <v>50</v>
      </c>
      <c r="P20" s="309">
        <v>11.25</v>
      </c>
      <c r="Q20" s="310">
        <f t="shared" si="0"/>
        <v>16.25</v>
      </c>
      <c r="R20" s="311">
        <f>SUM(O20*0.4536)</f>
        <v>22.68</v>
      </c>
      <c r="S20" s="312">
        <f t="shared" si="6"/>
        <v>1350</v>
      </c>
      <c r="T20" s="312">
        <f>SUM(Q20*$P$1)</f>
        <v>1950</v>
      </c>
      <c r="U20" s="312">
        <f t="shared" si="4"/>
        <v>85.97883597883597</v>
      </c>
      <c r="V20" s="313" t="e">
        <f t="shared" si="7"/>
        <v>#DIV/0!</v>
      </c>
    </row>
    <row r="21" spans="1:22" ht="12.75">
      <c r="A21" s="295" t="s">
        <v>220</v>
      </c>
      <c r="B21" s="296" t="s">
        <v>179</v>
      </c>
      <c r="C21" s="297">
        <v>15</v>
      </c>
      <c r="D21" s="298">
        <v>0</v>
      </c>
      <c r="E21" s="298">
        <v>15</v>
      </c>
      <c r="F21" s="299"/>
      <c r="G21" s="299"/>
      <c r="H21" s="327"/>
      <c r="I21" s="327"/>
      <c r="J21" s="327"/>
      <c r="K21" s="327"/>
      <c r="L21" s="299"/>
      <c r="M21" s="299"/>
      <c r="N21" s="299"/>
      <c r="O21" s="300"/>
      <c r="P21" s="301"/>
      <c r="Q21" s="302">
        <f t="shared" si="0"/>
        <v>0</v>
      </c>
      <c r="R21" s="303">
        <f>SUM(O21*0.4536)</f>
        <v>0</v>
      </c>
      <c r="S21" s="304">
        <f t="shared" si="6"/>
        <v>0</v>
      </c>
      <c r="T21" s="304">
        <f>SUM(Q21*$P$1)</f>
        <v>0</v>
      </c>
      <c r="U21" s="304">
        <f t="shared" si="4"/>
        <v>0</v>
      </c>
      <c r="V21" s="305">
        <f t="shared" si="7"/>
        <v>0</v>
      </c>
    </row>
    <row r="22" spans="1:22" ht="12.75">
      <c r="A22" s="295" t="s">
        <v>220</v>
      </c>
      <c r="B22" s="306" t="s">
        <v>181</v>
      </c>
      <c r="C22" s="307">
        <v>15</v>
      </c>
      <c r="D22" s="308">
        <v>15</v>
      </c>
      <c r="E22" s="308">
        <v>15</v>
      </c>
      <c r="F22" s="299"/>
      <c r="G22" s="299"/>
      <c r="H22" s="299">
        <v>9</v>
      </c>
      <c r="I22" s="299"/>
      <c r="J22" s="299"/>
      <c r="K22" s="299"/>
      <c r="L22" s="299"/>
      <c r="M22" s="299"/>
      <c r="N22" s="299"/>
      <c r="O22" s="270">
        <v>50</v>
      </c>
      <c r="P22" s="309">
        <v>7.9</v>
      </c>
      <c r="Q22" s="310">
        <f t="shared" si="0"/>
        <v>12.9</v>
      </c>
      <c r="R22" s="311">
        <f>SUM(O22*0.4536)</f>
        <v>22.68</v>
      </c>
      <c r="S22" s="312">
        <f t="shared" si="6"/>
        <v>948</v>
      </c>
      <c r="T22" s="312">
        <f>SUM(Q22*$P$1)</f>
        <v>1548</v>
      </c>
      <c r="U22" s="312">
        <f t="shared" si="4"/>
        <v>68.25396825396825</v>
      </c>
      <c r="V22" s="313">
        <f t="shared" si="7"/>
        <v>0.455026455026455</v>
      </c>
    </row>
    <row r="23" spans="1:22" ht="12.75">
      <c r="A23" s="295" t="s">
        <v>220</v>
      </c>
      <c r="B23" s="306" t="s">
        <v>182</v>
      </c>
      <c r="C23" s="307">
        <v>12</v>
      </c>
      <c r="D23" s="308">
        <v>12</v>
      </c>
      <c r="E23" s="308">
        <v>12</v>
      </c>
      <c r="F23" s="299"/>
      <c r="G23" s="299"/>
      <c r="H23" s="299">
        <v>15</v>
      </c>
      <c r="I23" s="299"/>
      <c r="J23" s="299"/>
      <c r="K23" s="299"/>
      <c r="L23" s="299"/>
      <c r="M23" s="299"/>
      <c r="N23" s="299"/>
      <c r="O23" s="270">
        <v>50</v>
      </c>
      <c r="P23" s="309">
        <v>7.8</v>
      </c>
      <c r="Q23" s="310">
        <f t="shared" si="0"/>
        <v>12.8</v>
      </c>
      <c r="R23" s="311">
        <f>SUM(O23*0.4536)</f>
        <v>22.68</v>
      </c>
      <c r="S23" s="312">
        <f t="shared" si="6"/>
        <v>936</v>
      </c>
      <c r="T23" s="312">
        <f>SUM(Q23*$P$1)</f>
        <v>1536</v>
      </c>
      <c r="U23" s="312">
        <f t="shared" si="4"/>
        <v>67.72486772486772</v>
      </c>
      <c r="V23" s="313">
        <f t="shared" si="7"/>
        <v>0.564373897707231</v>
      </c>
    </row>
    <row r="24" spans="1:22" ht="12.75">
      <c r="A24" s="295" t="s">
        <v>222</v>
      </c>
      <c r="B24" s="306" t="s">
        <v>184</v>
      </c>
      <c r="C24" s="271">
        <v>8</v>
      </c>
      <c r="D24" s="326">
        <v>8</v>
      </c>
      <c r="E24" s="326">
        <v>8</v>
      </c>
      <c r="F24" s="299"/>
      <c r="G24" s="299"/>
      <c r="H24" s="299"/>
      <c r="I24" s="299"/>
      <c r="J24" s="299"/>
      <c r="K24" s="299"/>
      <c r="L24" s="299"/>
      <c r="M24" s="299"/>
      <c r="N24" s="299"/>
      <c r="O24" s="270"/>
      <c r="P24" s="309"/>
      <c r="Q24" s="310">
        <f t="shared" si="0"/>
        <v>0</v>
      </c>
      <c r="R24" s="311">
        <v>20</v>
      </c>
      <c r="S24" s="312">
        <f t="shared" si="6"/>
        <v>0</v>
      </c>
      <c r="T24" s="312">
        <v>1089</v>
      </c>
      <c r="U24" s="312">
        <f t="shared" si="4"/>
        <v>54.45</v>
      </c>
      <c r="V24" s="313">
        <f t="shared" si="7"/>
        <v>0.680625</v>
      </c>
    </row>
    <row r="25" spans="1:22" ht="12.75">
      <c r="A25" s="295"/>
      <c r="B25" s="306" t="s">
        <v>183</v>
      </c>
      <c r="C25" s="271">
        <v>3</v>
      </c>
      <c r="D25" s="326">
        <v>2</v>
      </c>
      <c r="E25" s="326">
        <v>2</v>
      </c>
      <c r="F25" s="299">
        <v>8</v>
      </c>
      <c r="G25" s="299">
        <v>4</v>
      </c>
      <c r="H25" s="299"/>
      <c r="I25" s="299"/>
      <c r="J25" s="299"/>
      <c r="K25" s="299">
        <v>1</v>
      </c>
      <c r="L25" s="299"/>
      <c r="M25" s="299"/>
      <c r="N25" s="299"/>
      <c r="O25" s="270"/>
      <c r="P25" s="309"/>
      <c r="Q25" s="310">
        <f t="shared" si="0"/>
        <v>0</v>
      </c>
      <c r="R25" s="311">
        <v>20</v>
      </c>
      <c r="S25" s="312">
        <f t="shared" si="6"/>
        <v>0</v>
      </c>
      <c r="T25" s="312">
        <v>1700</v>
      </c>
      <c r="U25" s="312">
        <f t="shared" si="4"/>
        <v>85</v>
      </c>
      <c r="V25" s="313">
        <f t="shared" si="7"/>
        <v>2.8333333333333335</v>
      </c>
    </row>
    <row r="26" spans="1:22" ht="12.75">
      <c r="A26" s="295"/>
      <c r="B26" s="269"/>
      <c r="C26" s="271"/>
      <c r="D26" s="326"/>
      <c r="E26" s="326"/>
      <c r="F26" s="299"/>
      <c r="G26" s="299"/>
      <c r="H26" s="299"/>
      <c r="I26" s="299"/>
      <c r="J26" s="299"/>
      <c r="K26" s="299"/>
      <c r="L26" s="299"/>
      <c r="M26" s="299"/>
      <c r="N26" s="299"/>
      <c r="O26" s="270"/>
      <c r="P26" s="309"/>
      <c r="Q26" s="310">
        <f t="shared" si="0"/>
        <v>0</v>
      </c>
      <c r="R26" s="311">
        <f>SUM(O26*0.4536)</f>
        <v>0</v>
      </c>
      <c r="S26" s="312">
        <f t="shared" si="6"/>
        <v>0</v>
      </c>
      <c r="T26" s="312">
        <f>SUM(Q26*$P$1)</f>
        <v>0</v>
      </c>
      <c r="U26" s="312">
        <f t="shared" si="4"/>
        <v>0</v>
      </c>
      <c r="V26" s="313">
        <f t="shared" si="7"/>
        <v>0</v>
      </c>
    </row>
    <row r="27" spans="1:22" ht="12.75">
      <c r="A27" s="295"/>
      <c r="B27" s="269"/>
      <c r="C27" s="271"/>
      <c r="D27" s="326"/>
      <c r="E27" s="326"/>
      <c r="F27" s="299"/>
      <c r="G27" s="299"/>
      <c r="H27" s="299"/>
      <c r="I27" s="299"/>
      <c r="J27" s="299"/>
      <c r="K27" s="299"/>
      <c r="L27" s="299"/>
      <c r="M27" s="299"/>
      <c r="N27" s="299"/>
      <c r="O27" s="270"/>
      <c r="P27" s="309"/>
      <c r="Q27" s="310">
        <f t="shared" si="0"/>
        <v>0</v>
      </c>
      <c r="R27" s="311">
        <f>SUM(O27*0.4536)</f>
        <v>0</v>
      </c>
      <c r="S27" s="312">
        <f t="shared" si="6"/>
        <v>0</v>
      </c>
      <c r="T27" s="312">
        <f>SUM(Q27*$P$1)</f>
        <v>0</v>
      </c>
      <c r="U27" s="312">
        <f t="shared" si="4"/>
        <v>0</v>
      </c>
      <c r="V27" s="313">
        <f t="shared" si="7"/>
        <v>0</v>
      </c>
    </row>
    <row r="28" spans="1:22" ht="12.75">
      <c r="A28" s="295"/>
      <c r="B28" s="269"/>
      <c r="C28" s="271"/>
      <c r="D28" s="326"/>
      <c r="E28" s="326"/>
      <c r="F28" s="299"/>
      <c r="G28" s="299"/>
      <c r="H28" s="299"/>
      <c r="I28" s="299"/>
      <c r="J28" s="299"/>
      <c r="K28" s="299"/>
      <c r="L28" s="299"/>
      <c r="M28" s="299"/>
      <c r="N28" s="299"/>
      <c r="O28" s="270"/>
      <c r="P28" s="309"/>
      <c r="Q28" s="310">
        <f t="shared" si="0"/>
        <v>0</v>
      </c>
      <c r="R28" s="311">
        <f>SUM(O28*0.4536)</f>
        <v>0</v>
      </c>
      <c r="S28" s="312">
        <f t="shared" si="6"/>
        <v>0</v>
      </c>
      <c r="T28" s="312">
        <f>SUM(Q26*$P$1)</f>
        <v>0</v>
      </c>
      <c r="U28" s="312">
        <f t="shared" si="4"/>
        <v>0</v>
      </c>
      <c r="V28" s="313">
        <f t="shared" si="7"/>
        <v>0</v>
      </c>
    </row>
    <row r="29" spans="1:22" ht="12.75">
      <c r="A29" s="295"/>
      <c r="B29" s="269"/>
      <c r="C29" s="271"/>
      <c r="D29" s="326"/>
      <c r="E29" s="326"/>
      <c r="F29" s="299"/>
      <c r="G29" s="299"/>
      <c r="H29" s="299"/>
      <c r="I29" s="299"/>
      <c r="J29" s="299"/>
      <c r="K29" s="299"/>
      <c r="L29" s="299"/>
      <c r="M29" s="299"/>
      <c r="N29" s="299"/>
      <c r="O29" s="270"/>
      <c r="P29" s="309"/>
      <c r="Q29" s="310">
        <f t="shared" si="0"/>
        <v>0</v>
      </c>
      <c r="R29" s="311">
        <f>SUM(O29*0.4536)</f>
        <v>0</v>
      </c>
      <c r="S29" s="312">
        <f t="shared" si="6"/>
        <v>0</v>
      </c>
      <c r="T29" s="312">
        <f>SUM(Q29*$P$1)</f>
        <v>0</v>
      </c>
      <c r="U29" s="312">
        <f t="shared" si="4"/>
        <v>0</v>
      </c>
      <c r="V29" s="313">
        <f t="shared" si="7"/>
        <v>0</v>
      </c>
    </row>
    <row r="30" spans="1:22" ht="13.5" thickBot="1">
      <c r="A30" s="328"/>
      <c r="B30" s="329"/>
      <c r="C30" s="330"/>
      <c r="D30" s="331"/>
      <c r="E30" s="331"/>
      <c r="F30" s="332"/>
      <c r="G30" s="332"/>
      <c r="H30" s="332"/>
      <c r="I30" s="332"/>
      <c r="J30" s="332"/>
      <c r="K30" s="332"/>
      <c r="L30" s="332"/>
      <c r="M30" s="332"/>
      <c r="N30" s="332"/>
      <c r="O30" s="333"/>
      <c r="P30" s="334"/>
      <c r="Q30" s="335">
        <f t="shared" si="0"/>
        <v>0</v>
      </c>
      <c r="R30" s="336">
        <f>SUM(O30*0.4536)</f>
        <v>0</v>
      </c>
      <c r="S30" s="337">
        <f t="shared" si="6"/>
        <v>0</v>
      </c>
      <c r="T30" s="337">
        <f>SUM(Q30*$P$1)</f>
        <v>0</v>
      </c>
      <c r="U30" s="337">
        <f t="shared" si="4"/>
        <v>0</v>
      </c>
      <c r="V30" s="338">
        <f t="shared" si="7"/>
        <v>0</v>
      </c>
    </row>
    <row r="31" ht="13.5" thickTop="1"/>
  </sheetData>
  <sheetProtection password="CC26" sheet="1" objects="1" scenarios="1"/>
  <mergeCells count="3">
    <mergeCell ref="C3:N3"/>
    <mergeCell ref="O3:Q3"/>
    <mergeCell ref="R3:V3"/>
  </mergeCells>
  <printOptions/>
  <pageMargins left="0.45" right="0.38" top="1" bottom="1" header="0.5" footer="0.5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AN27" sqref="AN27"/>
    </sheetView>
  </sheetViews>
  <sheetFormatPr defaultColWidth="9.140625" defaultRowHeight="12.75"/>
  <cols>
    <col min="1" max="1" width="10.00390625" style="267" customWidth="1"/>
    <col min="2" max="2" width="36.7109375" style="267" customWidth="1"/>
    <col min="3" max="4" width="3.7109375" style="267" customWidth="1"/>
    <col min="5" max="5" width="3.421875" style="267" customWidth="1"/>
    <col min="6" max="6" width="4.7109375" style="267" customWidth="1"/>
    <col min="7" max="7" width="4.28125" style="267" customWidth="1"/>
    <col min="8" max="8" width="4.57421875" style="267" customWidth="1"/>
    <col min="9" max="13" width="4.140625" style="267" bestFit="1" customWidth="1"/>
    <col min="14" max="14" width="4.00390625" style="267" customWidth="1"/>
    <col min="15" max="15" width="7.421875" style="267" customWidth="1"/>
    <col min="16" max="16" width="9.421875" style="267" customWidth="1"/>
    <col min="17" max="17" width="12.8515625" style="267" customWidth="1"/>
    <col min="18" max="18" width="9.7109375" style="267" customWidth="1"/>
    <col min="19" max="19" width="10.28125" style="267" customWidth="1"/>
    <col min="20" max="20" width="12.7109375" style="267" customWidth="1"/>
    <col min="21" max="21" width="9.57421875" style="267" customWidth="1"/>
    <col min="22" max="22" width="11.57421875" style="267" bestFit="1" customWidth="1"/>
    <col min="23" max="16384" width="9.140625" style="267" customWidth="1"/>
  </cols>
  <sheetData>
    <row r="1" spans="2:16" ht="12.75">
      <c r="B1" s="268" t="s">
        <v>210</v>
      </c>
      <c r="O1" s="268" t="s">
        <v>211</v>
      </c>
      <c r="P1" s="268">
        <f>Products!P1</f>
        <v>120</v>
      </c>
    </row>
    <row r="2" ht="13.5" thickBot="1"/>
    <row r="3" spans="2:22" ht="13.5" customHeight="1" thickBot="1" thickTop="1">
      <c r="B3" s="272"/>
      <c r="C3" s="415" t="s">
        <v>223</v>
      </c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7"/>
      <c r="O3" s="418" t="s">
        <v>224</v>
      </c>
      <c r="P3" s="419"/>
      <c r="Q3" s="420"/>
      <c r="R3" s="421" t="s">
        <v>214</v>
      </c>
      <c r="S3" s="422"/>
      <c r="T3" s="422"/>
      <c r="U3" s="422"/>
      <c r="V3" s="423"/>
    </row>
    <row r="4" spans="1:22" ht="25.5" customHeight="1" thickBot="1" thickTop="1">
      <c r="A4" s="273" t="s">
        <v>225</v>
      </c>
      <c r="B4" s="274" t="s">
        <v>226</v>
      </c>
      <c r="C4" s="275" t="s">
        <v>140</v>
      </c>
      <c r="D4" s="276" t="s">
        <v>241</v>
      </c>
      <c r="E4" s="276" t="s">
        <v>242</v>
      </c>
      <c r="F4" s="275" t="s">
        <v>32</v>
      </c>
      <c r="G4" s="275" t="s">
        <v>35</v>
      </c>
      <c r="H4" s="275" t="s">
        <v>165</v>
      </c>
      <c r="I4" s="275" t="s">
        <v>142</v>
      </c>
      <c r="J4" s="275" t="s">
        <v>43</v>
      </c>
      <c r="K4" s="275" t="s">
        <v>46</v>
      </c>
      <c r="L4" s="275" t="s">
        <v>49</v>
      </c>
      <c r="M4" s="275" t="s">
        <v>52</v>
      </c>
      <c r="N4" s="275" t="s">
        <v>55</v>
      </c>
      <c r="O4" s="277" t="s">
        <v>187</v>
      </c>
      <c r="P4" s="278" t="s">
        <v>227</v>
      </c>
      <c r="Q4" s="279" t="s">
        <v>228</v>
      </c>
      <c r="R4" s="280" t="s">
        <v>187</v>
      </c>
      <c r="S4" s="281" t="s">
        <v>227</v>
      </c>
      <c r="T4" s="282" t="s">
        <v>228</v>
      </c>
      <c r="U4" s="283" t="s">
        <v>229</v>
      </c>
      <c r="V4" s="283" t="s">
        <v>230</v>
      </c>
    </row>
    <row r="5" spans="1:22" ht="13.5" thickTop="1">
      <c r="A5" s="284" t="s">
        <v>220</v>
      </c>
      <c r="B5" s="285" t="s">
        <v>185</v>
      </c>
      <c r="C5" s="286">
        <f>IF(Products!C5="","-",Products!C5)</f>
        <v>21</v>
      </c>
      <c r="D5" s="287">
        <f>IF(Products!D5="","-",Products!D5)</f>
        <v>0</v>
      </c>
      <c r="E5" s="287">
        <f>IF(Products!E5="","-",Products!E5)</f>
        <v>0</v>
      </c>
      <c r="F5" s="288" t="str">
        <f>IF(Products!F5="","-",Products!F5)</f>
        <v>-</v>
      </c>
      <c r="G5" s="288" t="str">
        <f>IF(Products!G5="","-",Products!G5)</f>
        <v>-</v>
      </c>
      <c r="H5" s="288" t="str">
        <f>IF(Products!H5="","-",Products!H5)</f>
        <v>-</v>
      </c>
      <c r="I5" s="288" t="str">
        <f>IF(Products!I5="","-",Products!I5)</f>
        <v>-</v>
      </c>
      <c r="J5" s="288" t="str">
        <f>IF(Products!J5="","-",Products!J5)</f>
        <v>-</v>
      </c>
      <c r="K5" s="288" t="str">
        <f>IF(Products!K5="","-",Products!K5)</f>
        <v>-</v>
      </c>
      <c r="L5" s="288" t="str">
        <f>IF(Products!L5="","-",Products!L5)</f>
        <v>-</v>
      </c>
      <c r="M5" s="288" t="str">
        <f>IF(Products!M5="","-",Products!M5)</f>
        <v>-</v>
      </c>
      <c r="N5" s="288" t="str">
        <f>IF(Products!N5="","-",Products!N5)</f>
        <v>-</v>
      </c>
      <c r="O5" s="289">
        <f>Products!O5</f>
        <v>50</v>
      </c>
      <c r="P5" s="290">
        <f>Products!P5</f>
        <v>5</v>
      </c>
      <c r="Q5" s="291">
        <f>Products!Q5</f>
        <v>10</v>
      </c>
      <c r="R5" s="292">
        <f>Products!R5</f>
        <v>22.68</v>
      </c>
      <c r="S5" s="293">
        <f>Products!S5</f>
        <v>600</v>
      </c>
      <c r="T5" s="293">
        <f>Products!T5</f>
        <v>1200</v>
      </c>
      <c r="U5" s="293">
        <f>Products!U5</f>
        <v>52.91005291005291</v>
      </c>
      <c r="V5" s="294">
        <f>Products!V5</f>
        <v>0.25195263290501385</v>
      </c>
    </row>
    <row r="6" spans="1:22" ht="12.75">
      <c r="A6" s="295" t="s">
        <v>220</v>
      </c>
      <c r="B6" s="296" t="s">
        <v>186</v>
      </c>
      <c r="C6" s="297">
        <f>IF(Products!C6="","-",Products!C6)</f>
        <v>28</v>
      </c>
      <c r="D6" s="298">
        <f>IF(Products!D6="","-",Products!D6)</f>
        <v>8</v>
      </c>
      <c r="E6" s="298">
        <f>IF(Products!E6="","-",Products!E6)</f>
        <v>18</v>
      </c>
      <c r="F6" s="299" t="str">
        <f>IF(Products!F6="","-",Products!F6)</f>
        <v>-</v>
      </c>
      <c r="G6" s="299" t="str">
        <f>IF(Products!G6="","-",Products!G6)</f>
        <v>-</v>
      </c>
      <c r="H6" s="299" t="str">
        <f>IF(Products!H6="","-",Products!H6)</f>
        <v>-</v>
      </c>
      <c r="I6" s="299" t="str">
        <f>IF(Products!I6="","-",Products!I6)</f>
        <v>-</v>
      </c>
      <c r="J6" s="299" t="str">
        <f>IF(Products!J6="","-",Products!J6)</f>
        <v>-</v>
      </c>
      <c r="K6" s="299" t="str">
        <f>IF(Products!K6="","-",Products!K6)</f>
        <v>-</v>
      </c>
      <c r="L6" s="299" t="str">
        <f>IF(Products!L6="","-",Products!L6)</f>
        <v>-</v>
      </c>
      <c r="M6" s="299" t="str">
        <f>IF(Products!M6="","-",Products!M6)</f>
        <v>-</v>
      </c>
      <c r="N6" s="299" t="str">
        <f>IF(Products!N6="","-",Products!N6)</f>
        <v>-</v>
      </c>
      <c r="O6" s="270">
        <f>Products!O6</f>
        <v>0</v>
      </c>
      <c r="P6" s="309">
        <f>Products!P6</f>
        <v>0</v>
      </c>
      <c r="Q6" s="310">
        <f>Products!Q6</f>
        <v>0</v>
      </c>
      <c r="R6" s="311">
        <f>Products!R6</f>
        <v>0</v>
      </c>
      <c r="S6" s="312">
        <f>Products!S6</f>
        <v>0</v>
      </c>
      <c r="T6" s="312">
        <f>Products!T6</f>
        <v>0</v>
      </c>
      <c r="U6" s="312">
        <f>Products!U6</f>
        <v>0</v>
      </c>
      <c r="V6" s="313">
        <f>Products!V6</f>
        <v>0</v>
      </c>
    </row>
    <row r="7" spans="1:22" ht="12.75">
      <c r="A7" s="295" t="s">
        <v>220</v>
      </c>
      <c r="B7" s="306" t="s">
        <v>231</v>
      </c>
      <c r="C7" s="307">
        <f>IF(Products!C7="","-",Products!C7)</f>
        <v>11</v>
      </c>
      <c r="D7" s="308">
        <f>IF(Products!D7="","-",Products!D7)</f>
        <v>55</v>
      </c>
      <c r="E7" s="308">
        <f>IF(Products!E7="","-",Products!E7)</f>
        <v>0</v>
      </c>
      <c r="F7" s="299" t="str">
        <f>IF(Products!F7="","-",Products!F7)</f>
        <v>-</v>
      </c>
      <c r="G7" s="299" t="str">
        <f>IF(Products!G7="","-",Products!G7)</f>
        <v>-</v>
      </c>
      <c r="H7" s="299" t="str">
        <f>IF(Products!H7="","-",Products!H7)</f>
        <v>-</v>
      </c>
      <c r="I7" s="299" t="str">
        <f>IF(Products!I7="","-",Products!I7)</f>
        <v>-</v>
      </c>
      <c r="J7" s="299" t="str">
        <f>IF(Products!J7="","-",Products!J7)</f>
        <v>-</v>
      </c>
      <c r="K7" s="299" t="str">
        <f>IF(Products!K7="","-",Products!K7)</f>
        <v>-</v>
      </c>
      <c r="L7" s="299" t="str">
        <f>IF(Products!L7="","-",Products!L7)</f>
        <v>-</v>
      </c>
      <c r="M7" s="299" t="str">
        <f>IF(Products!M7="","-",Products!M7)</f>
        <v>-</v>
      </c>
      <c r="N7" s="299" t="str">
        <f>IF(Products!N7="","-",Products!N7)</f>
        <v>-</v>
      </c>
      <c r="O7" s="270">
        <f>Products!O7</f>
        <v>50</v>
      </c>
      <c r="P7" s="309">
        <f>Products!P7</f>
        <v>14.6</v>
      </c>
      <c r="Q7" s="310">
        <f>Products!Q7</f>
        <v>19.6</v>
      </c>
      <c r="R7" s="311">
        <f>Products!R7</f>
        <v>22.68</v>
      </c>
      <c r="S7" s="312">
        <f>Products!S7</f>
        <v>1752</v>
      </c>
      <c r="T7" s="312">
        <f>Products!T7</f>
        <v>2352</v>
      </c>
      <c r="U7" s="312">
        <f>Products!U7</f>
        <v>103.70370370370371</v>
      </c>
      <c r="V7" s="313">
        <f>Products!V7</f>
        <v>0.9427609427609427</v>
      </c>
    </row>
    <row r="8" spans="1:22" ht="12.75">
      <c r="A8" s="314" t="s">
        <v>220</v>
      </c>
      <c r="B8" s="315" t="s">
        <v>232</v>
      </c>
      <c r="C8" s="316">
        <f>IF(Products!C8="","-",Products!C8)</f>
        <v>25</v>
      </c>
      <c r="D8" s="317">
        <f>IF(Products!D8="","-",Products!D8)</f>
        <v>5</v>
      </c>
      <c r="E8" s="317">
        <f>IF(Products!E8="","-",Products!E8)</f>
        <v>5</v>
      </c>
      <c r="F8" s="318" t="str">
        <f>IF(Products!F8="","-",Products!F8)</f>
        <v>-</v>
      </c>
      <c r="G8" s="318">
        <f>IF(Products!G8="","-",Products!G8)</f>
        <v>0.9</v>
      </c>
      <c r="H8" s="318">
        <f>IF(Products!H8="","-",Products!H8)</f>
        <v>11</v>
      </c>
      <c r="I8" s="318" t="str">
        <f>IF(Products!I8="","-",Products!I8)</f>
        <v>-</v>
      </c>
      <c r="J8" s="318" t="str">
        <f>IF(Products!J8="","-",Products!J8)</f>
        <v>-</v>
      </c>
      <c r="K8" s="318" t="str">
        <f>IF(Products!K8="","-",Products!K8)</f>
        <v>-</v>
      </c>
      <c r="L8" s="318" t="str">
        <f>IF(Products!L8="","-",Products!L8)</f>
        <v>-</v>
      </c>
      <c r="M8" s="318" t="str">
        <f>IF(Products!M8="","-",Products!M8)</f>
        <v>-</v>
      </c>
      <c r="N8" s="318" t="str">
        <f>IF(Products!N8="","-",Products!N8)</f>
        <v>-</v>
      </c>
      <c r="O8" s="319">
        <f>Products!O8</f>
        <v>50</v>
      </c>
      <c r="P8" s="320">
        <f>Products!P8</f>
        <v>13.6</v>
      </c>
      <c r="Q8" s="321">
        <f>Products!Q8</f>
        <v>18.6</v>
      </c>
      <c r="R8" s="322">
        <f>Products!R8</f>
        <v>22.68</v>
      </c>
      <c r="S8" s="323">
        <f>Products!S8</f>
        <v>1632</v>
      </c>
      <c r="T8" s="323">
        <f>Products!T8</f>
        <v>2232</v>
      </c>
      <c r="U8" s="323">
        <f>Products!U8</f>
        <v>98.41269841269842</v>
      </c>
      <c r="V8" s="324">
        <f>Products!V8</f>
        <v>0.39365079365079364</v>
      </c>
    </row>
    <row r="9" spans="1:22" ht="12.75">
      <c r="A9" s="314" t="s">
        <v>220</v>
      </c>
      <c r="B9" s="315" t="s">
        <v>233</v>
      </c>
      <c r="C9" s="316">
        <f>IF(Products!C9="","-",Products!C9)</f>
        <v>22</v>
      </c>
      <c r="D9" s="317">
        <f>IF(Products!D9="","-",Products!D9)</f>
        <v>2</v>
      </c>
      <c r="E9" s="317">
        <f>IF(Products!E9="","-",Products!E9)</f>
        <v>22</v>
      </c>
      <c r="F9" s="318" t="str">
        <f>IF(Products!F9="","-",Products!F9)</f>
        <v>-</v>
      </c>
      <c r="G9" s="318" t="str">
        <f>IF(Products!G9="","-",Products!G9)</f>
        <v>-</v>
      </c>
      <c r="H9" s="318">
        <f>IF(Products!H9="","-",Products!H9)</f>
        <v>14</v>
      </c>
      <c r="I9" s="318" t="str">
        <f>IF(Products!I9="","-",Products!I9)</f>
        <v>-</v>
      </c>
      <c r="J9" s="318" t="str">
        <f>IF(Products!J9="","-",Products!J9)</f>
        <v>-</v>
      </c>
      <c r="K9" s="318" t="str">
        <f>IF(Products!K9="","-",Products!K9)</f>
        <v>-</v>
      </c>
      <c r="L9" s="318" t="str">
        <f>IF(Products!L9="","-",Products!L9)</f>
        <v>-</v>
      </c>
      <c r="M9" s="318" t="str">
        <f>IF(Products!M9="","-",Products!M9)</f>
        <v>-</v>
      </c>
      <c r="N9" s="318" t="str">
        <f>IF(Products!N9="","-",Products!N9)</f>
        <v>-</v>
      </c>
      <c r="O9" s="319">
        <f>Products!O9</f>
        <v>50</v>
      </c>
      <c r="P9" s="320">
        <f>Products!P9</f>
        <v>14.75</v>
      </c>
      <c r="Q9" s="321">
        <f>Products!Q9</f>
        <v>19.75</v>
      </c>
      <c r="R9" s="322">
        <f>Products!R9</f>
        <v>22.68</v>
      </c>
      <c r="S9" s="323">
        <f>Products!S9</f>
        <v>1770</v>
      </c>
      <c r="T9" s="323">
        <f>Products!T9</f>
        <v>2370</v>
      </c>
      <c r="U9" s="323">
        <f>Products!U9</f>
        <v>104.4973544973545</v>
      </c>
      <c r="V9" s="324">
        <f>Products!V9</f>
        <v>0.47498797498797496</v>
      </c>
    </row>
    <row r="10" spans="1:22" ht="12.75">
      <c r="A10" s="314" t="s">
        <v>220</v>
      </c>
      <c r="B10" s="315" t="s">
        <v>234</v>
      </c>
      <c r="C10" s="316">
        <f>IF(Products!C10="","-",Products!C10)</f>
        <v>21</v>
      </c>
      <c r="D10" s="317">
        <f>IF(Products!D10="","-",Products!D10)</f>
        <v>2</v>
      </c>
      <c r="E10" s="317">
        <f>IF(Products!E10="","-",Products!E10)</f>
        <v>21</v>
      </c>
      <c r="F10" s="318" t="str">
        <f>IF(Products!F10="","-",Products!F10)</f>
        <v>-</v>
      </c>
      <c r="G10" s="318" t="str">
        <f>IF(Products!G10="","-",Products!G10)</f>
        <v>-</v>
      </c>
      <c r="H10" s="318" t="str">
        <f>IF(Products!H10="","-",Products!H10)</f>
        <v>-</v>
      </c>
      <c r="I10" s="318" t="str">
        <f>IF(Products!I10="","-",Products!I10)</f>
        <v>-</v>
      </c>
      <c r="J10" s="318" t="str">
        <f>IF(Products!J10="","-",Products!J10)</f>
        <v>-</v>
      </c>
      <c r="K10" s="318" t="str">
        <f>IF(Products!K10="","-",Products!K10)</f>
        <v>-</v>
      </c>
      <c r="L10" s="318" t="str">
        <f>IF(Products!L10="","-",Products!L10)</f>
        <v>-</v>
      </c>
      <c r="M10" s="318" t="str">
        <f>IF(Products!M10="","-",Products!M10)</f>
        <v>-</v>
      </c>
      <c r="N10" s="318" t="str">
        <f>IF(Products!N10="","-",Products!N10)</f>
        <v>-</v>
      </c>
      <c r="O10" s="319">
        <f>Products!O10</f>
        <v>50</v>
      </c>
      <c r="P10" s="320">
        <f>Products!P10</f>
        <v>15.75</v>
      </c>
      <c r="Q10" s="321">
        <f>Products!Q10</f>
        <v>20.75</v>
      </c>
      <c r="R10" s="322">
        <f>Products!R10</f>
        <v>22.68</v>
      </c>
      <c r="S10" s="323">
        <f>Products!S10</f>
        <v>1890</v>
      </c>
      <c r="T10" s="323">
        <f>Products!T10</f>
        <v>2490</v>
      </c>
      <c r="U10" s="323">
        <f>Products!U10</f>
        <v>109.78835978835978</v>
      </c>
      <c r="V10" s="324">
        <f>Products!V10</f>
        <v>0.5228017132779037</v>
      </c>
    </row>
    <row r="11" spans="1:22" ht="12.75">
      <c r="A11" s="295" t="s">
        <v>220</v>
      </c>
      <c r="B11" s="325" t="s">
        <v>188</v>
      </c>
      <c r="C11" s="307" t="str">
        <f>IF(Products!C11="","-",Products!C11)</f>
        <v>-</v>
      </c>
      <c r="D11" s="308" t="str">
        <f>IF(Products!D11="","-",Products!D11)</f>
        <v>-</v>
      </c>
      <c r="E11" s="308" t="str">
        <f>IF(Products!E11="","-",Products!E11)</f>
        <v>-</v>
      </c>
      <c r="F11" s="299">
        <f>IF(Products!F11="","-",Products!F11)</f>
        <v>22</v>
      </c>
      <c r="G11" s="299">
        <f>IF(Products!G11="","-",Products!G11)</f>
        <v>10</v>
      </c>
      <c r="H11" s="299" t="str">
        <f>IF(Products!H11="","-",Products!H11)</f>
        <v>-</v>
      </c>
      <c r="I11" s="299" t="str">
        <f>IF(Products!I11="","-",Products!I11)</f>
        <v>-</v>
      </c>
      <c r="J11" s="299" t="str">
        <f>IF(Products!J11="","-",Products!J11)</f>
        <v>-</v>
      </c>
      <c r="K11" s="299" t="str">
        <f>IF(Products!K11="","-",Products!K11)</f>
        <v>-</v>
      </c>
      <c r="L11" s="299" t="str">
        <f>IF(Products!L11="","-",Products!L11)</f>
        <v>-</v>
      </c>
      <c r="M11" s="299" t="str">
        <f>IF(Products!M11="","-",Products!M11)</f>
        <v>-</v>
      </c>
      <c r="N11" s="299" t="str">
        <f>IF(Products!N11="","-",Products!N11)</f>
        <v>-</v>
      </c>
      <c r="O11" s="270">
        <f>Products!O11</f>
        <v>50</v>
      </c>
      <c r="P11" s="309">
        <f>Products!P11</f>
        <v>6.4</v>
      </c>
      <c r="Q11" s="310">
        <f>Products!Q11</f>
        <v>11.4</v>
      </c>
      <c r="R11" s="311">
        <f>Products!R11</f>
        <v>22.68</v>
      </c>
      <c r="S11" s="312">
        <f>Products!S11</f>
        <v>768</v>
      </c>
      <c r="T11" s="312">
        <f>Products!T11</f>
        <v>1368</v>
      </c>
      <c r="U11" s="312">
        <f>Products!U11</f>
        <v>60.317460317460316</v>
      </c>
      <c r="V11" s="313">
        <f>Products!V11</f>
        <v>0</v>
      </c>
    </row>
    <row r="12" spans="1:22" ht="12.75">
      <c r="A12" s="295" t="s">
        <v>220</v>
      </c>
      <c r="B12" s="306" t="s">
        <v>189</v>
      </c>
      <c r="C12" s="307">
        <f>IF(Products!C12="","-",Products!C12)</f>
        <v>34</v>
      </c>
      <c r="D12" s="308">
        <f>IF(Products!D12="","-",Products!D12)</f>
        <v>3</v>
      </c>
      <c r="E12" s="308">
        <f>IF(Products!E12="","-",Products!E12)</f>
        <v>7</v>
      </c>
      <c r="F12" s="299" t="str">
        <f>IF(Products!F12="","-",Products!F12)</f>
        <v>-</v>
      </c>
      <c r="G12" s="299" t="str">
        <f>IF(Products!G12="","-",Products!G12)</f>
        <v>-</v>
      </c>
      <c r="H12" s="299">
        <f>IF(Products!H12="","-",Products!H12)</f>
        <v>3</v>
      </c>
      <c r="I12" s="299" t="str">
        <f>IF(Products!I12="","-",Products!I12)</f>
        <v>-</v>
      </c>
      <c r="J12" s="299" t="str">
        <f>IF(Products!J12="","-",Products!J12)</f>
        <v>-</v>
      </c>
      <c r="K12" s="299" t="str">
        <f>IF(Products!K12="","-",Products!K12)</f>
        <v>-</v>
      </c>
      <c r="L12" s="299" t="str">
        <f>IF(Products!L12="","-",Products!L12)</f>
        <v>-</v>
      </c>
      <c r="M12" s="299" t="str">
        <f>IF(Products!M12="","-",Products!M12)</f>
        <v>-</v>
      </c>
      <c r="N12" s="299" t="str">
        <f>IF(Products!N12="","-",Products!N12)</f>
        <v>-</v>
      </c>
      <c r="O12" s="270">
        <f>Products!O12</f>
        <v>50</v>
      </c>
      <c r="P12" s="309">
        <f>Products!P12</f>
        <v>13.3</v>
      </c>
      <c r="Q12" s="310">
        <f>Products!Q12</f>
        <v>18.3</v>
      </c>
      <c r="R12" s="311">
        <f>Products!R12</f>
        <v>22.68</v>
      </c>
      <c r="S12" s="312">
        <f>Products!S12</f>
        <v>1596</v>
      </c>
      <c r="T12" s="312">
        <f>Products!T12</f>
        <v>2196</v>
      </c>
      <c r="U12" s="312">
        <f>Products!U12</f>
        <v>96.82539682539682</v>
      </c>
      <c r="V12" s="313">
        <f>Products!V12</f>
        <v>0.28478057889822594</v>
      </c>
    </row>
    <row r="13" spans="1:22" ht="12.75">
      <c r="A13" s="295" t="s">
        <v>220</v>
      </c>
      <c r="B13" s="306" t="s">
        <v>190</v>
      </c>
      <c r="C13" s="307">
        <f>IF(Products!C13="","-",Products!C13)</f>
        <v>10</v>
      </c>
      <c r="D13" s="308">
        <f>IF(Products!D13="","-",Products!D13)</f>
        <v>21</v>
      </c>
      <c r="E13" s="308">
        <f>IF(Products!E13="","-",Products!E13)</f>
        <v>21</v>
      </c>
      <c r="F13" s="299" t="str">
        <f>IF(Products!F13="","-",Products!F13)</f>
        <v>-</v>
      </c>
      <c r="G13" s="299" t="str">
        <f>IF(Products!G13="","-",Products!G13)</f>
        <v>-</v>
      </c>
      <c r="H13" s="299">
        <f>IF(Products!H13="","-",Products!H13)</f>
        <v>7.1</v>
      </c>
      <c r="I13" s="299" t="str">
        <f>IF(Products!I13="","-",Products!I13)</f>
        <v>-</v>
      </c>
      <c r="J13" s="299">
        <f>IF(Products!J13="","-",Products!J13)</f>
        <v>1.4</v>
      </c>
      <c r="K13" s="299" t="str">
        <f>IF(Products!K13="","-",Products!K13)</f>
        <v>-</v>
      </c>
      <c r="L13" s="299" t="str">
        <f>IF(Products!L13="","-",Products!L13)</f>
        <v>-</v>
      </c>
      <c r="M13" s="299" t="str">
        <f>IF(Products!M13="","-",Products!M13)</f>
        <v>-</v>
      </c>
      <c r="N13" s="299" t="str">
        <f>IF(Products!N13="","-",Products!N13)</f>
        <v>-</v>
      </c>
      <c r="O13" s="270">
        <f>Products!O13</f>
        <v>50</v>
      </c>
      <c r="P13" s="309">
        <f>Products!P13</f>
        <v>23.4</v>
      </c>
      <c r="Q13" s="310">
        <f>Products!Q13</f>
        <v>28.4</v>
      </c>
      <c r="R13" s="311">
        <f>Products!R13</f>
        <v>22.68</v>
      </c>
      <c r="S13" s="312">
        <f>Products!S13</f>
        <v>2808</v>
      </c>
      <c r="T13" s="312">
        <f>Products!T13</f>
        <v>3408</v>
      </c>
      <c r="U13" s="312">
        <f>Products!U13</f>
        <v>150.26455026455028</v>
      </c>
      <c r="V13" s="313">
        <f>Products!V13</f>
        <v>1.5026455026455026</v>
      </c>
    </row>
    <row r="14" spans="1:22" ht="12.75">
      <c r="A14" s="295" t="s">
        <v>220</v>
      </c>
      <c r="B14" s="306" t="s">
        <v>235</v>
      </c>
      <c r="C14" s="307">
        <f>IF(Products!C14="","-",Products!C14)</f>
        <v>17</v>
      </c>
      <c r="D14" s="308">
        <f>IF(Products!D14="","-",Products!D14)</f>
        <v>3</v>
      </c>
      <c r="E14" s="308">
        <f>IF(Products!E14="","-",Products!E14)</f>
        <v>19</v>
      </c>
      <c r="F14" s="299" t="str">
        <f>IF(Products!F14="","-",Products!F14)</f>
        <v>-</v>
      </c>
      <c r="G14" s="299">
        <f>IF(Products!G14="","-",Products!G14)</f>
        <v>0.6</v>
      </c>
      <c r="H14" s="299">
        <f>IF(Products!H14="","-",Products!H14)</f>
        <v>16</v>
      </c>
      <c r="I14" s="299" t="str">
        <f>IF(Products!I14="","-",Products!I14)</f>
        <v>-</v>
      </c>
      <c r="J14" s="299">
        <f>IF(Products!J14="","-",Products!J14)</f>
        <v>1</v>
      </c>
      <c r="K14" s="299" t="str">
        <f>IF(Products!K14="","-",Products!K14)</f>
        <v>-</v>
      </c>
      <c r="L14" s="299" t="str">
        <f>IF(Products!L14="","-",Products!L14)</f>
        <v>-</v>
      </c>
      <c r="M14" s="299" t="str">
        <f>IF(Products!M14="","-",Products!M14)</f>
        <v>-</v>
      </c>
      <c r="N14" s="299" t="str">
        <f>IF(Products!N14="","-",Products!N14)</f>
        <v>-</v>
      </c>
      <c r="O14" s="270">
        <f>Products!O14</f>
        <v>50</v>
      </c>
      <c r="P14" s="309">
        <f>Products!P14</f>
        <v>21.9</v>
      </c>
      <c r="Q14" s="310">
        <f>Products!Q14</f>
        <v>26.9</v>
      </c>
      <c r="R14" s="311">
        <f>Products!R14</f>
        <v>22.68</v>
      </c>
      <c r="S14" s="312">
        <f>Products!S14</f>
        <v>2628</v>
      </c>
      <c r="T14" s="312">
        <f>Products!T14</f>
        <v>3228</v>
      </c>
      <c r="U14" s="312">
        <f>Products!U14</f>
        <v>142.32804232804233</v>
      </c>
      <c r="V14" s="313">
        <f>Products!V14</f>
        <v>0.837223778400249</v>
      </c>
    </row>
    <row r="15" spans="1:22" ht="12.75">
      <c r="A15" s="295" t="s">
        <v>220</v>
      </c>
      <c r="B15" s="306" t="s">
        <v>236</v>
      </c>
      <c r="C15" s="307">
        <f>IF(Products!C15="","-",Products!C15)</f>
        <v>18</v>
      </c>
      <c r="D15" s="308">
        <f>IF(Products!D15="","-",Products!D15)</f>
        <v>2</v>
      </c>
      <c r="E15" s="308">
        <f>IF(Products!E15="","-",Products!E15)</f>
        <v>24</v>
      </c>
      <c r="F15" s="299" t="str">
        <f>IF(Products!F15="","-",Products!F15)</f>
        <v>-</v>
      </c>
      <c r="G15" s="299" t="str">
        <f>IF(Products!G15="","-",Products!G15)</f>
        <v>-</v>
      </c>
      <c r="H15" s="299">
        <f>IF(Products!H15="","-",Products!H15)</f>
        <v>8.2</v>
      </c>
      <c r="I15" s="299">
        <f>IF(Products!I15="","-",Products!I15)</f>
        <v>0.1</v>
      </c>
      <c r="J15" s="299">
        <f>IF(Products!J15="","-",Products!J15)</f>
        <v>0.5</v>
      </c>
      <c r="K15" s="299">
        <f>IF(Products!K15="","-",Products!K15)</f>
        <v>0.3</v>
      </c>
      <c r="L15" s="299">
        <f>IF(Products!L15="","-",Products!L15)</f>
        <v>0.3</v>
      </c>
      <c r="M15" s="299">
        <f>IF(Products!M15="","-",Products!M15)</f>
        <v>0.3</v>
      </c>
      <c r="N15" s="299" t="str">
        <f>IF(Products!N15="","-",Products!N15)</f>
        <v>-</v>
      </c>
      <c r="O15" s="270">
        <f>Products!O15</f>
        <v>50</v>
      </c>
      <c r="P15" s="309">
        <f>Products!P15</f>
        <v>24</v>
      </c>
      <c r="Q15" s="310">
        <f>Products!Q15</f>
        <v>29</v>
      </c>
      <c r="R15" s="311">
        <f>Products!R15</f>
        <v>22.68</v>
      </c>
      <c r="S15" s="312">
        <f>Products!S15</f>
        <v>2880</v>
      </c>
      <c r="T15" s="312">
        <f>Products!T15</f>
        <v>3480</v>
      </c>
      <c r="U15" s="312">
        <f>Products!U15</f>
        <v>153.43915343915344</v>
      </c>
      <c r="V15" s="313">
        <f>Products!V15</f>
        <v>0.8524397413286302</v>
      </c>
    </row>
    <row r="16" spans="1:22" ht="12.75">
      <c r="A16" s="295" t="s">
        <v>220</v>
      </c>
      <c r="B16" s="306" t="s">
        <v>191</v>
      </c>
      <c r="C16" s="307">
        <f>IF(Products!C16="","-",Products!C16)</f>
        <v>20</v>
      </c>
      <c r="D16" s="308">
        <f>IF(Products!D16="","-",Products!D16)</f>
        <v>3</v>
      </c>
      <c r="E16" s="308">
        <f>IF(Products!E16="","-",Products!E16)</f>
        <v>20</v>
      </c>
      <c r="F16" s="299" t="str">
        <f>IF(Products!F16="","-",Products!F16)</f>
        <v>-</v>
      </c>
      <c r="G16" s="299">
        <f>IF(Products!G16="","-",Products!G16)</f>
        <v>0.3</v>
      </c>
      <c r="H16" s="299">
        <f>IF(Products!H16="","-",Products!H16)</f>
        <v>6.8</v>
      </c>
      <c r="I16" s="299">
        <f>IF(Products!I16="","-",Products!I16)</f>
        <v>0.1</v>
      </c>
      <c r="J16" s="299">
        <f>IF(Products!J16="","-",Products!J16)</f>
        <v>0.6</v>
      </c>
      <c r="K16" s="299" t="str">
        <f>IF(Products!K16="","-",Products!K16)</f>
        <v>-</v>
      </c>
      <c r="L16" s="299">
        <f>IF(Products!L16="","-",Products!L16)</f>
        <v>0.3</v>
      </c>
      <c r="M16" s="299">
        <f>IF(Products!M16="","-",Products!M16)</f>
        <v>0.3</v>
      </c>
      <c r="N16" s="299" t="str">
        <f>IF(Products!N16="","-",Products!N16)</f>
        <v>-</v>
      </c>
      <c r="O16" s="270">
        <f>Products!O16</f>
        <v>50</v>
      </c>
      <c r="P16" s="309">
        <f>Products!P16</f>
        <v>28</v>
      </c>
      <c r="Q16" s="310">
        <f>Products!Q16</f>
        <v>33</v>
      </c>
      <c r="R16" s="311">
        <f>Products!R16</f>
        <v>22.68</v>
      </c>
      <c r="S16" s="312">
        <f>Products!S16</f>
        <v>3360</v>
      </c>
      <c r="T16" s="312">
        <f>Products!T16</f>
        <v>3960</v>
      </c>
      <c r="U16" s="312">
        <f>Products!U16</f>
        <v>174.6031746031746</v>
      </c>
      <c r="V16" s="313">
        <f>Products!V16</f>
        <v>0.873015873015873</v>
      </c>
    </row>
    <row r="17" spans="1:22" ht="12.75">
      <c r="A17" s="295" t="s">
        <v>220</v>
      </c>
      <c r="B17" s="306" t="s">
        <v>192</v>
      </c>
      <c r="C17" s="307" t="str">
        <f>IF(Products!C17="","-",Products!C17)</f>
        <v>-</v>
      </c>
      <c r="D17" s="308" t="str">
        <f>IF(Products!D17="","-",Products!D17)</f>
        <v>-</v>
      </c>
      <c r="E17" s="308" t="str">
        <f>IF(Products!E17="","-",Products!E17)</f>
        <v>-</v>
      </c>
      <c r="F17" s="299">
        <f>IF(Products!F17="","-",Products!F17)</f>
        <v>38</v>
      </c>
      <c r="G17" s="299" t="str">
        <f>IF(Products!G17="","-",Products!G17)</f>
        <v>-</v>
      </c>
      <c r="H17" s="299" t="str">
        <f>IF(Products!H17="","-",Products!H17)</f>
        <v>-</v>
      </c>
      <c r="I17" s="299" t="str">
        <f>IF(Products!I17="","-",Products!I17)</f>
        <v>-</v>
      </c>
      <c r="J17" s="299" t="str">
        <f>IF(Products!J17="","-",Products!J17)</f>
        <v>-</v>
      </c>
      <c r="K17" s="299" t="str">
        <f>IF(Products!K17="","-",Products!K17)</f>
        <v>-</v>
      </c>
      <c r="L17" s="299" t="str">
        <f>IF(Products!L17="","-",Products!L17)</f>
        <v>-</v>
      </c>
      <c r="M17" s="299" t="str">
        <f>IF(Products!M17="","-",Products!M17)</f>
        <v>-</v>
      </c>
      <c r="N17" s="299" t="str">
        <f>IF(Products!N17="","-",Products!N17)</f>
        <v>-</v>
      </c>
      <c r="O17" s="270">
        <f>Products!O17</f>
        <v>50</v>
      </c>
      <c r="P17" s="309">
        <f>Products!P17</f>
        <v>5.9</v>
      </c>
      <c r="Q17" s="310">
        <f>Products!Q17</f>
        <v>10.9</v>
      </c>
      <c r="R17" s="311">
        <f>Products!R17</f>
        <v>22.68</v>
      </c>
      <c r="S17" s="312">
        <f>Products!S17</f>
        <v>708</v>
      </c>
      <c r="T17" s="312">
        <f>Products!T17</f>
        <v>1308</v>
      </c>
      <c r="U17" s="312">
        <f>Products!U17</f>
        <v>57.67195767195767</v>
      </c>
      <c r="V17" s="313">
        <f>Products!V17</f>
        <v>0</v>
      </c>
    </row>
    <row r="18" spans="1:22" ht="12.75">
      <c r="A18" s="295" t="s">
        <v>237</v>
      </c>
      <c r="B18" s="339" t="s">
        <v>238</v>
      </c>
      <c r="C18" s="271">
        <f>IF(Products!C18="","-",Products!C18)</f>
        <v>8</v>
      </c>
      <c r="D18" s="326">
        <f>IF(Products!D18="","-",Products!D18)</f>
        <v>8</v>
      </c>
      <c r="E18" s="326">
        <f>IF(Products!E18="","-",Products!E18)</f>
        <v>8</v>
      </c>
      <c r="F18" s="299" t="str">
        <f>IF(Products!F18="","-",Products!F18)</f>
        <v>-</v>
      </c>
      <c r="G18" s="299" t="str">
        <f>IF(Products!G18="","-",Products!G18)</f>
        <v>-</v>
      </c>
      <c r="H18" s="299" t="str">
        <f>IF(Products!H18="","-",Products!H18)</f>
        <v>-</v>
      </c>
      <c r="I18" s="299" t="str">
        <f>IF(Products!I18="","-",Products!I18)</f>
        <v>-</v>
      </c>
      <c r="J18" s="299" t="str">
        <f>IF(Products!J18="","-",Products!J18)</f>
        <v>-</v>
      </c>
      <c r="K18" s="299" t="str">
        <f>IF(Products!K18="","-",Products!K18)</f>
        <v>-</v>
      </c>
      <c r="L18" s="299" t="str">
        <f>IF(Products!L18="","-",Products!L18)</f>
        <v>-</v>
      </c>
      <c r="M18" s="299" t="str">
        <f>IF(Products!M18="","-",Products!M18)</f>
        <v>-</v>
      </c>
      <c r="N18" s="299" t="str">
        <f>IF(Products!N18="","-",Products!N18)</f>
        <v>-</v>
      </c>
      <c r="O18" s="270">
        <f>Products!O18</f>
        <v>0</v>
      </c>
      <c r="P18" s="309">
        <f>Products!P18</f>
        <v>0</v>
      </c>
      <c r="Q18" s="310">
        <f>Products!Q18</f>
        <v>0</v>
      </c>
      <c r="R18" s="311">
        <f>Products!R18</f>
        <v>20</v>
      </c>
      <c r="S18" s="312">
        <f>Products!S18</f>
        <v>0</v>
      </c>
      <c r="T18" s="312">
        <f>Products!T18</f>
        <v>950</v>
      </c>
      <c r="U18" s="312">
        <f>Products!U18</f>
        <v>47.5</v>
      </c>
      <c r="V18" s="313">
        <f>Products!V18</f>
        <v>0.59375</v>
      </c>
    </row>
    <row r="19" spans="1:22" ht="12.75">
      <c r="A19" s="295" t="s">
        <v>220</v>
      </c>
      <c r="B19" s="306" t="s">
        <v>193</v>
      </c>
      <c r="C19" s="307">
        <f>IF(Products!C19="","-",Products!C19)</f>
        <v>0</v>
      </c>
      <c r="D19" s="308">
        <f>IF(Products!D19="","-",Products!D19)</f>
        <v>0</v>
      </c>
      <c r="E19" s="308">
        <f>IF(Products!E19="","-",Products!E19)</f>
        <v>50</v>
      </c>
      <c r="F19" s="299" t="str">
        <f>IF(Products!F19="","-",Products!F19)</f>
        <v>-</v>
      </c>
      <c r="G19" s="299" t="str">
        <f>IF(Products!G19="","-",Products!G19)</f>
        <v>-</v>
      </c>
      <c r="H19" s="299" t="str">
        <f>IF(Products!H19="","-",Products!H19)</f>
        <v>-</v>
      </c>
      <c r="I19" s="299" t="str">
        <f>IF(Products!I19="","-",Products!I19)</f>
        <v>-</v>
      </c>
      <c r="J19" s="299" t="str">
        <f>IF(Products!J19="","-",Products!J19)</f>
        <v>-</v>
      </c>
      <c r="K19" s="299" t="str">
        <f>IF(Products!K19="","-",Products!K19)</f>
        <v>-</v>
      </c>
      <c r="L19" s="299" t="str">
        <f>IF(Products!L19="","-",Products!L19)</f>
        <v>-</v>
      </c>
      <c r="M19" s="299" t="str">
        <f>IF(Products!M19="","-",Products!M19)</f>
        <v>-</v>
      </c>
      <c r="N19" s="299" t="str">
        <f>IF(Products!N19="","-",Products!N19)</f>
        <v>-</v>
      </c>
      <c r="O19" s="270">
        <f>Products!O19</f>
        <v>50</v>
      </c>
      <c r="P19" s="309">
        <f>Products!P19</f>
        <v>12.2</v>
      </c>
      <c r="Q19" s="310">
        <f>Products!Q19</f>
        <v>17.2</v>
      </c>
      <c r="R19" s="311">
        <f>Products!R19</f>
        <v>22.68</v>
      </c>
      <c r="S19" s="312">
        <f>Products!S19</f>
        <v>1464</v>
      </c>
      <c r="T19" s="312">
        <f>Products!T19</f>
        <v>2064</v>
      </c>
      <c r="U19" s="312">
        <f>Products!U19</f>
        <v>91.005291005291</v>
      </c>
      <c r="V19" s="313" t="e">
        <f>Products!V19</f>
        <v>#DIV/0!</v>
      </c>
    </row>
    <row r="20" spans="1:22" ht="12.75">
      <c r="A20" s="295" t="s">
        <v>220</v>
      </c>
      <c r="B20" s="306" t="s">
        <v>194</v>
      </c>
      <c r="C20" s="307">
        <f>IF(Products!C20="","-",Products!C20)</f>
        <v>0</v>
      </c>
      <c r="D20" s="308">
        <f>IF(Products!D20="","-",Products!D20)</f>
        <v>0</v>
      </c>
      <c r="E20" s="308">
        <f>IF(Products!E20="","-",Products!E20)</f>
        <v>50</v>
      </c>
      <c r="F20" s="299" t="str">
        <f>IF(Products!F20="","-",Products!F20)</f>
        <v>-</v>
      </c>
      <c r="G20" s="299" t="str">
        <f>IF(Products!G20="","-",Products!G20)</f>
        <v>-</v>
      </c>
      <c r="H20" s="299" t="str">
        <f>IF(Products!H20="","-",Products!H20)</f>
        <v>-</v>
      </c>
      <c r="I20" s="299" t="str">
        <f>IF(Products!I20="","-",Products!I20)</f>
        <v>-</v>
      </c>
      <c r="J20" s="299" t="str">
        <f>IF(Products!J20="","-",Products!J20)</f>
        <v>-</v>
      </c>
      <c r="K20" s="299" t="str">
        <f>IF(Products!K20="","-",Products!K20)</f>
        <v>-</v>
      </c>
      <c r="L20" s="299" t="str">
        <f>IF(Products!L20="","-",Products!L20)</f>
        <v>-</v>
      </c>
      <c r="M20" s="299" t="str">
        <f>IF(Products!M20="","-",Products!M20)</f>
        <v>-</v>
      </c>
      <c r="N20" s="299" t="str">
        <f>IF(Products!N20="","-",Products!N20)</f>
        <v>-</v>
      </c>
      <c r="O20" s="270">
        <f>Products!O20</f>
        <v>50</v>
      </c>
      <c r="P20" s="309">
        <f>Products!P20</f>
        <v>11.25</v>
      </c>
      <c r="Q20" s="310">
        <f>Products!Q20</f>
        <v>16.25</v>
      </c>
      <c r="R20" s="311">
        <f>Products!R20</f>
        <v>22.68</v>
      </c>
      <c r="S20" s="312">
        <f>Products!S20</f>
        <v>1350</v>
      </c>
      <c r="T20" s="312">
        <f>Products!T20</f>
        <v>1950</v>
      </c>
      <c r="U20" s="312">
        <f>Products!U20</f>
        <v>85.97883597883597</v>
      </c>
      <c r="V20" s="313" t="e">
        <f>Products!V20</f>
        <v>#DIV/0!</v>
      </c>
    </row>
    <row r="21" spans="1:22" ht="12.75">
      <c r="A21" s="295" t="s">
        <v>220</v>
      </c>
      <c r="B21" s="296" t="s">
        <v>195</v>
      </c>
      <c r="C21" s="297">
        <f>IF(Products!C21="","-",Products!C21)</f>
        <v>15</v>
      </c>
      <c r="D21" s="298">
        <f>IF(Products!D21="","-",Products!D21)</f>
        <v>0</v>
      </c>
      <c r="E21" s="298">
        <f>IF(Products!E21="","-",Products!E21)</f>
        <v>15</v>
      </c>
      <c r="F21" s="299" t="str">
        <f>IF(Products!F21="","-",Products!F21)</f>
        <v>-</v>
      </c>
      <c r="G21" s="299" t="str">
        <f>IF(Products!G21="","-",Products!G21)</f>
        <v>-</v>
      </c>
      <c r="H21" s="327" t="str">
        <f>IF(Products!H21="","-",Products!H21)</f>
        <v>-</v>
      </c>
      <c r="I21" s="327" t="str">
        <f>IF(Products!I21="","-",Products!I21)</f>
        <v>-</v>
      </c>
      <c r="J21" s="327" t="str">
        <f>IF(Products!J21="","-",Products!J21)</f>
        <v>-</v>
      </c>
      <c r="K21" s="327" t="str">
        <f>IF(Products!K21="","-",Products!K21)</f>
        <v>-</v>
      </c>
      <c r="L21" s="299" t="str">
        <f>IF(Products!L21="","-",Products!L21)</f>
        <v>-</v>
      </c>
      <c r="M21" s="299" t="str">
        <f>IF(Products!M21="","-",Products!M21)</f>
        <v>-</v>
      </c>
      <c r="N21" s="299" t="str">
        <f>IF(Products!N21="","-",Products!N21)</f>
        <v>-</v>
      </c>
      <c r="O21" s="270">
        <f>Products!O21</f>
        <v>0</v>
      </c>
      <c r="P21" s="309">
        <f>Products!P21</f>
        <v>0</v>
      </c>
      <c r="Q21" s="310">
        <f>Products!Q21</f>
        <v>0</v>
      </c>
      <c r="R21" s="311">
        <f>Products!R21</f>
        <v>0</v>
      </c>
      <c r="S21" s="312">
        <f>Products!S21</f>
        <v>0</v>
      </c>
      <c r="T21" s="312">
        <f>Products!T21</f>
        <v>0</v>
      </c>
      <c r="U21" s="312">
        <f>Products!U21</f>
        <v>0</v>
      </c>
      <c r="V21" s="313">
        <f>Products!V21</f>
        <v>0</v>
      </c>
    </row>
    <row r="22" spans="1:22" ht="12.75">
      <c r="A22" s="295" t="s">
        <v>220</v>
      </c>
      <c r="B22" s="306" t="s">
        <v>196</v>
      </c>
      <c r="C22" s="307">
        <f>IF(Products!C22="","-",Products!C22)</f>
        <v>15</v>
      </c>
      <c r="D22" s="308">
        <f>IF(Products!D22="","-",Products!D22)</f>
        <v>15</v>
      </c>
      <c r="E22" s="308">
        <f>IF(Products!E22="","-",Products!E22)</f>
        <v>15</v>
      </c>
      <c r="F22" s="299" t="str">
        <f>IF(Products!F22="","-",Products!F22)</f>
        <v>-</v>
      </c>
      <c r="G22" s="299" t="str">
        <f>IF(Products!G22="","-",Products!G22)</f>
        <v>-</v>
      </c>
      <c r="H22" s="299">
        <f>IF(Products!H22="","-",Products!H22)</f>
        <v>9</v>
      </c>
      <c r="I22" s="299" t="str">
        <f>IF(Products!I22="","-",Products!I22)</f>
        <v>-</v>
      </c>
      <c r="J22" s="299" t="str">
        <f>IF(Products!J22="","-",Products!J22)</f>
        <v>-</v>
      </c>
      <c r="K22" s="299" t="str">
        <f>IF(Products!K22="","-",Products!K22)</f>
        <v>-</v>
      </c>
      <c r="L22" s="299" t="str">
        <f>IF(Products!L22="","-",Products!L22)</f>
        <v>-</v>
      </c>
      <c r="M22" s="299" t="str">
        <f>IF(Products!M22="","-",Products!M22)</f>
        <v>-</v>
      </c>
      <c r="N22" s="299" t="str">
        <f>IF(Products!N22="","-",Products!N22)</f>
        <v>-</v>
      </c>
      <c r="O22" s="270">
        <f>Products!O22</f>
        <v>50</v>
      </c>
      <c r="P22" s="309">
        <f>Products!P22</f>
        <v>7.9</v>
      </c>
      <c r="Q22" s="310">
        <f>Products!Q22</f>
        <v>12.9</v>
      </c>
      <c r="R22" s="311">
        <f>Products!R22</f>
        <v>22.68</v>
      </c>
      <c r="S22" s="312">
        <f>Products!S22</f>
        <v>948</v>
      </c>
      <c r="T22" s="312">
        <f>Products!T22</f>
        <v>1548</v>
      </c>
      <c r="U22" s="312">
        <f>Products!U22</f>
        <v>68.25396825396825</v>
      </c>
      <c r="V22" s="313">
        <f>Products!V22</f>
        <v>0.455026455026455</v>
      </c>
    </row>
    <row r="23" spans="1:22" ht="12.75">
      <c r="A23" s="295" t="s">
        <v>220</v>
      </c>
      <c r="B23" s="306" t="s">
        <v>239</v>
      </c>
      <c r="C23" s="307">
        <f>IF(Products!C23="","-",Products!C23)</f>
        <v>12</v>
      </c>
      <c r="D23" s="308">
        <f>IF(Products!D23="","-",Products!D23)</f>
        <v>12</v>
      </c>
      <c r="E23" s="308">
        <f>IF(Products!E23="","-",Products!E23)</f>
        <v>12</v>
      </c>
      <c r="F23" s="299" t="str">
        <f>IF(Products!F23="","-",Products!F23)</f>
        <v>-</v>
      </c>
      <c r="G23" s="299" t="str">
        <f>IF(Products!G23="","-",Products!G23)</f>
        <v>-</v>
      </c>
      <c r="H23" s="299">
        <f>IF(Products!H23="","-",Products!H23)</f>
        <v>15</v>
      </c>
      <c r="I23" s="299" t="str">
        <f>IF(Products!I23="","-",Products!I23)</f>
        <v>-</v>
      </c>
      <c r="J23" s="299" t="str">
        <f>IF(Products!J23="","-",Products!J23)</f>
        <v>-</v>
      </c>
      <c r="K23" s="299" t="str">
        <f>IF(Products!K23="","-",Products!K23)</f>
        <v>-</v>
      </c>
      <c r="L23" s="299" t="str">
        <f>IF(Products!L23="","-",Products!L23)</f>
        <v>-</v>
      </c>
      <c r="M23" s="299" t="str">
        <f>IF(Products!M23="","-",Products!M23)</f>
        <v>-</v>
      </c>
      <c r="N23" s="299" t="str">
        <f>IF(Products!N23="","-",Products!N23)</f>
        <v>-</v>
      </c>
      <c r="O23" s="270">
        <f>Products!O23</f>
        <v>50</v>
      </c>
      <c r="P23" s="309">
        <f>Products!P23</f>
        <v>7.8</v>
      </c>
      <c r="Q23" s="310">
        <f>Products!Q23</f>
        <v>12.8</v>
      </c>
      <c r="R23" s="311">
        <f>Products!R23</f>
        <v>22.68</v>
      </c>
      <c r="S23" s="312">
        <f>Products!S23</f>
        <v>936</v>
      </c>
      <c r="T23" s="312">
        <f>Products!T23</f>
        <v>1536</v>
      </c>
      <c r="U23" s="312">
        <f>Products!U23</f>
        <v>67.72486772486772</v>
      </c>
      <c r="V23" s="313">
        <f>Products!V23</f>
        <v>0.564373897707231</v>
      </c>
    </row>
    <row r="24" spans="1:22" ht="12.75">
      <c r="A24" s="295" t="s">
        <v>240</v>
      </c>
      <c r="B24" s="339" t="s">
        <v>198</v>
      </c>
      <c r="C24" s="271">
        <f>IF(Products!C24="","-",Products!C24)</f>
        <v>8</v>
      </c>
      <c r="D24" s="326">
        <f>IF(Products!D24="","-",Products!D24)</f>
        <v>8</v>
      </c>
      <c r="E24" s="326">
        <f>IF(Products!E24="","-",Products!E24)</f>
        <v>8</v>
      </c>
      <c r="F24" s="299" t="str">
        <f>IF(Products!F24="","-",Products!F24)</f>
        <v>-</v>
      </c>
      <c r="G24" s="299" t="str">
        <f>IF(Products!G24="","-",Products!G24)</f>
        <v>-</v>
      </c>
      <c r="H24" s="299" t="str">
        <f>IF(Products!H24="","-",Products!H24)</f>
        <v>-</v>
      </c>
      <c r="I24" s="299" t="str">
        <f>IF(Products!I24="","-",Products!I24)</f>
        <v>-</v>
      </c>
      <c r="J24" s="299" t="str">
        <f>IF(Products!J24="","-",Products!J24)</f>
        <v>-</v>
      </c>
      <c r="K24" s="299" t="str">
        <f>IF(Products!K24="","-",Products!K24)</f>
        <v>-</v>
      </c>
      <c r="L24" s="299" t="str">
        <f>IF(Products!L24="","-",Products!L24)</f>
        <v>-</v>
      </c>
      <c r="M24" s="299" t="str">
        <f>IF(Products!M24="","-",Products!M24)</f>
        <v>-</v>
      </c>
      <c r="N24" s="299" t="str">
        <f>IF(Products!N24="","-",Products!N24)</f>
        <v>-</v>
      </c>
      <c r="O24" s="270">
        <f>Products!O24</f>
        <v>0</v>
      </c>
      <c r="P24" s="309">
        <f>Products!P24</f>
        <v>0</v>
      </c>
      <c r="Q24" s="310">
        <f>Products!Q24</f>
        <v>0</v>
      </c>
      <c r="R24" s="311">
        <f>Products!R24</f>
        <v>20</v>
      </c>
      <c r="S24" s="312">
        <f>Products!S24</f>
        <v>0</v>
      </c>
      <c r="T24" s="312">
        <f>Products!T24</f>
        <v>1089</v>
      </c>
      <c r="U24" s="312">
        <f>Products!U24</f>
        <v>54.45</v>
      </c>
      <c r="V24" s="313">
        <f>Products!V24</f>
        <v>0.680625</v>
      </c>
    </row>
    <row r="25" spans="1:22" ht="12.75">
      <c r="A25" s="295"/>
      <c r="B25" s="339" t="s">
        <v>197</v>
      </c>
      <c r="C25" s="271">
        <f>IF(Products!C25="","-",Products!C25)</f>
        <v>3</v>
      </c>
      <c r="D25" s="326">
        <f>IF(Products!D25="","-",Products!D25)</f>
        <v>2</v>
      </c>
      <c r="E25" s="326">
        <f>IF(Products!E25="","-",Products!E25)</f>
        <v>2</v>
      </c>
      <c r="F25" s="299">
        <f>IF(Products!F25="","-",Products!F25)</f>
        <v>8</v>
      </c>
      <c r="G25" s="299">
        <f>IF(Products!G25="","-",Products!G25)</f>
        <v>4</v>
      </c>
      <c r="H25" s="299" t="str">
        <f>IF(Products!H25="","-",Products!H25)</f>
        <v>-</v>
      </c>
      <c r="I25" s="299" t="str">
        <f>IF(Products!I25="","-",Products!I25)</f>
        <v>-</v>
      </c>
      <c r="J25" s="299" t="str">
        <f>IF(Products!J25="","-",Products!J25)</f>
        <v>-</v>
      </c>
      <c r="K25" s="299">
        <f>IF(Products!K25="","-",Products!K25)</f>
        <v>1</v>
      </c>
      <c r="L25" s="299" t="str">
        <f>IF(Products!L25="","-",Products!L25)</f>
        <v>-</v>
      </c>
      <c r="M25" s="299" t="str">
        <f>IF(Products!M25="","-",Products!M25)</f>
        <v>-</v>
      </c>
      <c r="N25" s="299" t="str">
        <f>IF(Products!N25="","-",Products!N25)</f>
        <v>-</v>
      </c>
      <c r="O25" s="270">
        <f>Products!O25</f>
        <v>0</v>
      </c>
      <c r="P25" s="309">
        <f>Products!P25</f>
        <v>0</v>
      </c>
      <c r="Q25" s="310">
        <f>Products!Q25</f>
        <v>0</v>
      </c>
      <c r="R25" s="311">
        <f>Products!R25</f>
        <v>20</v>
      </c>
      <c r="S25" s="312">
        <f>Products!S25</f>
        <v>0</v>
      </c>
      <c r="T25" s="312">
        <f>Products!T25</f>
        <v>1700</v>
      </c>
      <c r="U25" s="312">
        <f>Products!U25</f>
        <v>85</v>
      </c>
      <c r="V25" s="313">
        <f>Products!V25</f>
        <v>2.8333333333333335</v>
      </c>
    </row>
    <row r="26" spans="1:22" ht="12.75">
      <c r="A26" s="295"/>
      <c r="B26" s="269"/>
      <c r="C26" s="271" t="str">
        <f>IF(Products!C26="","-",Products!C26)</f>
        <v>-</v>
      </c>
      <c r="D26" s="326" t="str">
        <f>IF(Products!D26="","-",Products!D26)</f>
        <v>-</v>
      </c>
      <c r="E26" s="326" t="str">
        <f>IF(Products!E26="","-",Products!E26)</f>
        <v>-</v>
      </c>
      <c r="F26" s="299" t="str">
        <f>IF(Products!F26="","-",Products!F26)</f>
        <v>-</v>
      </c>
      <c r="G26" s="299" t="str">
        <f>IF(Products!G26="","-",Products!G26)</f>
        <v>-</v>
      </c>
      <c r="H26" s="299" t="str">
        <f>IF(Products!H26="","-",Products!H26)</f>
        <v>-</v>
      </c>
      <c r="I26" s="299" t="str">
        <f>IF(Products!I26="","-",Products!I26)</f>
        <v>-</v>
      </c>
      <c r="J26" s="299" t="str">
        <f>IF(Products!J26="","-",Products!J26)</f>
        <v>-</v>
      </c>
      <c r="K26" s="299" t="str">
        <f>IF(Products!K26="","-",Products!K26)</f>
        <v>-</v>
      </c>
      <c r="L26" s="299" t="str">
        <f>IF(Products!L26="","-",Products!L26)</f>
        <v>-</v>
      </c>
      <c r="M26" s="299" t="str">
        <f>IF(Products!M26="","-",Products!M26)</f>
        <v>-</v>
      </c>
      <c r="N26" s="299" t="str">
        <f>IF(Products!N26="","-",Products!N26)</f>
        <v>-</v>
      </c>
      <c r="O26" s="270">
        <f>Products!O26</f>
        <v>0</v>
      </c>
      <c r="P26" s="309">
        <f>Products!P26</f>
        <v>0</v>
      </c>
      <c r="Q26" s="310">
        <f>Products!Q26</f>
        <v>0</v>
      </c>
      <c r="R26" s="311">
        <f>Products!R26</f>
        <v>0</v>
      </c>
      <c r="S26" s="312">
        <f>Products!S26</f>
        <v>0</v>
      </c>
      <c r="T26" s="312">
        <f>Products!T26</f>
        <v>0</v>
      </c>
      <c r="U26" s="312">
        <f>Products!U26</f>
        <v>0</v>
      </c>
      <c r="V26" s="313">
        <f>Products!V26</f>
        <v>0</v>
      </c>
    </row>
    <row r="27" spans="1:22" ht="12.75">
      <c r="A27" s="295"/>
      <c r="B27" s="269"/>
      <c r="C27" s="271" t="str">
        <f>IF(Products!C27="","-",Products!C27)</f>
        <v>-</v>
      </c>
      <c r="D27" s="326" t="str">
        <f>IF(Products!D27="","-",Products!D27)</f>
        <v>-</v>
      </c>
      <c r="E27" s="326" t="str">
        <f>IF(Products!E27="","-",Products!E27)</f>
        <v>-</v>
      </c>
      <c r="F27" s="299" t="str">
        <f>IF(Products!F27="","-",Products!F27)</f>
        <v>-</v>
      </c>
      <c r="G27" s="299" t="str">
        <f>IF(Products!G27="","-",Products!G27)</f>
        <v>-</v>
      </c>
      <c r="H27" s="299" t="str">
        <f>IF(Products!H27="","-",Products!H27)</f>
        <v>-</v>
      </c>
      <c r="I27" s="299" t="str">
        <f>IF(Products!I27="","-",Products!I27)</f>
        <v>-</v>
      </c>
      <c r="J27" s="299" t="str">
        <f>IF(Products!J27="","-",Products!J27)</f>
        <v>-</v>
      </c>
      <c r="K27" s="299" t="str">
        <f>IF(Products!K27="","-",Products!K27)</f>
        <v>-</v>
      </c>
      <c r="L27" s="299" t="str">
        <f>IF(Products!L27="","-",Products!L27)</f>
        <v>-</v>
      </c>
      <c r="M27" s="299" t="str">
        <f>IF(Products!M27="","-",Products!M27)</f>
        <v>-</v>
      </c>
      <c r="N27" s="299" t="str">
        <f>IF(Products!N27="","-",Products!N27)</f>
        <v>-</v>
      </c>
      <c r="O27" s="270">
        <f>Products!O27</f>
        <v>0</v>
      </c>
      <c r="P27" s="309">
        <f>Products!P27</f>
        <v>0</v>
      </c>
      <c r="Q27" s="310">
        <f>Products!Q27</f>
        <v>0</v>
      </c>
      <c r="R27" s="311">
        <f>Products!R27</f>
        <v>0</v>
      </c>
      <c r="S27" s="312">
        <f>Products!S27</f>
        <v>0</v>
      </c>
      <c r="T27" s="312">
        <f>Products!T27</f>
        <v>0</v>
      </c>
      <c r="U27" s="312">
        <f>Products!U27</f>
        <v>0</v>
      </c>
      <c r="V27" s="313">
        <f>Products!V27</f>
        <v>0</v>
      </c>
    </row>
    <row r="28" spans="1:22" ht="12.75">
      <c r="A28" s="295"/>
      <c r="B28" s="269"/>
      <c r="C28" s="271" t="str">
        <f>IF(Products!C28="","-",Products!C28)</f>
        <v>-</v>
      </c>
      <c r="D28" s="326" t="str">
        <f>IF(Products!D28="","-",Products!D28)</f>
        <v>-</v>
      </c>
      <c r="E28" s="326" t="str">
        <f>IF(Products!E28="","-",Products!E28)</f>
        <v>-</v>
      </c>
      <c r="F28" s="299" t="str">
        <f>IF(Products!F28="","-",Products!F28)</f>
        <v>-</v>
      </c>
      <c r="G28" s="299" t="str">
        <f>IF(Products!G28="","-",Products!G28)</f>
        <v>-</v>
      </c>
      <c r="H28" s="299" t="str">
        <f>IF(Products!H28="","-",Products!H28)</f>
        <v>-</v>
      </c>
      <c r="I28" s="299" t="str">
        <f>IF(Products!I28="","-",Products!I28)</f>
        <v>-</v>
      </c>
      <c r="J28" s="299" t="str">
        <f>IF(Products!J28="","-",Products!J28)</f>
        <v>-</v>
      </c>
      <c r="K28" s="299" t="str">
        <f>IF(Products!K28="","-",Products!K28)</f>
        <v>-</v>
      </c>
      <c r="L28" s="299" t="str">
        <f>IF(Products!L28="","-",Products!L28)</f>
        <v>-</v>
      </c>
      <c r="M28" s="299" t="str">
        <f>IF(Products!M28="","-",Products!M28)</f>
        <v>-</v>
      </c>
      <c r="N28" s="299" t="str">
        <f>IF(Products!N28="","-",Products!N28)</f>
        <v>-</v>
      </c>
      <c r="O28" s="270">
        <f>Products!O28</f>
        <v>0</v>
      </c>
      <c r="P28" s="309">
        <f>Products!P28</f>
        <v>0</v>
      </c>
      <c r="Q28" s="310">
        <f>Products!Q28</f>
        <v>0</v>
      </c>
      <c r="R28" s="311">
        <f>Products!R28</f>
        <v>0</v>
      </c>
      <c r="S28" s="312">
        <f>Products!S28</f>
        <v>0</v>
      </c>
      <c r="T28" s="312">
        <f>Products!T28</f>
        <v>0</v>
      </c>
      <c r="U28" s="312">
        <f>Products!U28</f>
        <v>0</v>
      </c>
      <c r="V28" s="313">
        <f>Products!V28</f>
        <v>0</v>
      </c>
    </row>
    <row r="29" spans="1:22" ht="12.75">
      <c r="A29" s="295"/>
      <c r="B29" s="269"/>
      <c r="C29" s="271" t="str">
        <f>IF(Products!C29="","-",Products!C29)</f>
        <v>-</v>
      </c>
      <c r="D29" s="326" t="str">
        <f>IF(Products!D29="","-",Products!D29)</f>
        <v>-</v>
      </c>
      <c r="E29" s="326" t="str">
        <f>IF(Products!E29="","-",Products!E29)</f>
        <v>-</v>
      </c>
      <c r="F29" s="299" t="str">
        <f>IF(Products!F29="","-",Products!F29)</f>
        <v>-</v>
      </c>
      <c r="G29" s="299" t="str">
        <f>IF(Products!G29="","-",Products!G29)</f>
        <v>-</v>
      </c>
      <c r="H29" s="299" t="str">
        <f>IF(Products!H29="","-",Products!H29)</f>
        <v>-</v>
      </c>
      <c r="I29" s="299" t="str">
        <f>IF(Products!I29="","-",Products!I29)</f>
        <v>-</v>
      </c>
      <c r="J29" s="299" t="str">
        <f>IF(Products!J29="","-",Products!J29)</f>
        <v>-</v>
      </c>
      <c r="K29" s="299" t="str">
        <f>IF(Products!K29="","-",Products!K29)</f>
        <v>-</v>
      </c>
      <c r="L29" s="299" t="str">
        <f>IF(Products!L29="","-",Products!L29)</f>
        <v>-</v>
      </c>
      <c r="M29" s="299" t="str">
        <f>IF(Products!M29="","-",Products!M29)</f>
        <v>-</v>
      </c>
      <c r="N29" s="299" t="str">
        <f>IF(Products!N29="","-",Products!N29)</f>
        <v>-</v>
      </c>
      <c r="O29" s="270">
        <f>Products!O29</f>
        <v>0</v>
      </c>
      <c r="P29" s="309">
        <f>Products!P29</f>
        <v>0</v>
      </c>
      <c r="Q29" s="310">
        <f>Products!Q29</f>
        <v>0</v>
      </c>
      <c r="R29" s="311">
        <f>Products!R29</f>
        <v>0</v>
      </c>
      <c r="S29" s="312">
        <f>Products!S29</f>
        <v>0</v>
      </c>
      <c r="T29" s="312">
        <f>Products!T29</f>
        <v>0</v>
      </c>
      <c r="U29" s="312">
        <f>Products!U29</f>
        <v>0</v>
      </c>
      <c r="V29" s="313">
        <f>Products!V29</f>
        <v>0</v>
      </c>
    </row>
    <row r="30" spans="1:22" ht="13.5" thickBot="1">
      <c r="A30" s="328"/>
      <c r="B30" s="329"/>
      <c r="C30" s="330" t="str">
        <f>IF(Products!C30="","-",Products!C30)</f>
        <v>-</v>
      </c>
      <c r="D30" s="331" t="str">
        <f>IF(Products!D30="","-",Products!D30)</f>
        <v>-</v>
      </c>
      <c r="E30" s="331" t="str">
        <f>IF(Products!E30="","-",Products!E30)</f>
        <v>-</v>
      </c>
      <c r="F30" s="332" t="str">
        <f>IF(Products!F30="","-",Products!F30)</f>
        <v>-</v>
      </c>
      <c r="G30" s="332" t="str">
        <f>IF(Products!G30="","-",Products!G30)</f>
        <v>-</v>
      </c>
      <c r="H30" s="332" t="str">
        <f>IF(Products!H30="","-",Products!H30)</f>
        <v>-</v>
      </c>
      <c r="I30" s="332" t="str">
        <f>IF(Products!I30="","-",Products!I30)</f>
        <v>-</v>
      </c>
      <c r="J30" s="332" t="str">
        <f>IF(Products!J30="","-",Products!J30)</f>
        <v>-</v>
      </c>
      <c r="K30" s="332" t="str">
        <f>IF(Products!K30="","-",Products!K30)</f>
        <v>-</v>
      </c>
      <c r="L30" s="332" t="str">
        <f>IF(Products!L30="","-",Products!L30)</f>
        <v>-</v>
      </c>
      <c r="M30" s="332" t="str">
        <f>IF(Products!M30="","-",Products!M30)</f>
        <v>-</v>
      </c>
      <c r="N30" s="332" t="str">
        <f>IF(Products!N30="","-",Products!N30)</f>
        <v>-</v>
      </c>
      <c r="O30" s="333">
        <f>Products!O30</f>
        <v>0</v>
      </c>
      <c r="P30" s="334">
        <f>Products!P30</f>
        <v>0</v>
      </c>
      <c r="Q30" s="335">
        <f>Products!Q30</f>
        <v>0</v>
      </c>
      <c r="R30" s="336">
        <f>Products!R30</f>
        <v>0</v>
      </c>
      <c r="S30" s="337">
        <f>Products!S30</f>
        <v>0</v>
      </c>
      <c r="T30" s="337">
        <f>Products!T30</f>
        <v>0</v>
      </c>
      <c r="U30" s="337">
        <f>Products!U30</f>
        <v>0</v>
      </c>
      <c r="V30" s="338">
        <f>Products!V30</f>
        <v>0</v>
      </c>
    </row>
    <row r="31" ht="13.5" thickTop="1"/>
  </sheetData>
  <sheetProtection password="CC26" sheet="1" objects="1" scenarios="1"/>
  <mergeCells count="3">
    <mergeCell ref="O3:Q3"/>
    <mergeCell ref="R3:V3"/>
    <mergeCell ref="C3:N3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5">
      <selection activeCell="A15" sqref="A15"/>
    </sheetView>
  </sheetViews>
  <sheetFormatPr defaultColWidth="9.140625" defaultRowHeight="12.75"/>
  <cols>
    <col min="1" max="1" width="24.421875" style="170" customWidth="1"/>
    <col min="2" max="4" width="13.7109375" style="169" customWidth="1"/>
    <col min="5" max="6" width="13.7109375" style="170" customWidth="1"/>
    <col min="7" max="9" width="12.7109375" style="169" customWidth="1"/>
    <col min="10" max="16384" width="9.140625" style="170" customWidth="1"/>
  </cols>
  <sheetData>
    <row r="1" spans="1:3" ht="12.75">
      <c r="A1" s="166" t="s">
        <v>18</v>
      </c>
      <c r="B1" s="167" t="str">
        <f>Cover!A10</f>
        <v>Oga Golf Club</v>
      </c>
      <c r="C1" s="168"/>
    </row>
    <row r="2" spans="1:2" ht="12.75">
      <c r="A2" s="166" t="s">
        <v>144</v>
      </c>
      <c r="B2" s="171">
        <f>Cover!A34</f>
        <v>2003</v>
      </c>
    </row>
    <row r="3" ht="12.75">
      <c r="B3" s="172"/>
    </row>
    <row r="4" ht="12.75">
      <c r="B4" s="172"/>
    </row>
    <row r="5" spans="1:9" ht="12.75">
      <c r="A5" s="173" t="s">
        <v>19</v>
      </c>
      <c r="B5" s="174" t="s">
        <v>3</v>
      </c>
      <c r="C5" s="175" t="s">
        <v>148</v>
      </c>
      <c r="D5" s="176" t="s">
        <v>4</v>
      </c>
      <c r="F5" s="177"/>
      <c r="G5" s="178"/>
      <c r="H5" s="178"/>
      <c r="I5" s="178"/>
    </row>
    <row r="6" spans="1:9" ht="12.75">
      <c r="A6" s="179" t="s">
        <v>8</v>
      </c>
      <c r="B6" s="220"/>
      <c r="C6" s="180">
        <f>PRODUCT(D6,43560)</f>
        <v>0</v>
      </c>
      <c r="D6" s="181">
        <f aca="true" t="shared" si="0" ref="D6:D14">PRODUCT(B6/4206)</f>
        <v>0</v>
      </c>
      <c r="G6" s="182"/>
      <c r="H6" s="183"/>
      <c r="I6" s="184"/>
    </row>
    <row r="7" spans="1:9" ht="12.75">
      <c r="A7" s="179" t="s">
        <v>9</v>
      </c>
      <c r="B7" s="220"/>
      <c r="C7" s="180">
        <f aca="true" t="shared" si="1" ref="C7:C14">PRODUCT(D7,43560)</f>
        <v>0</v>
      </c>
      <c r="D7" s="181">
        <f t="shared" si="0"/>
        <v>0</v>
      </c>
      <c r="G7" s="182"/>
      <c r="H7" s="183"/>
      <c r="I7" s="184"/>
    </row>
    <row r="8" spans="1:9" ht="12.75">
      <c r="A8" s="179" t="s">
        <v>10</v>
      </c>
      <c r="B8" s="220"/>
      <c r="C8" s="180">
        <f t="shared" si="1"/>
        <v>0</v>
      </c>
      <c r="D8" s="181">
        <f t="shared" si="0"/>
        <v>0</v>
      </c>
      <c r="G8" s="182"/>
      <c r="H8" s="183"/>
      <c r="I8" s="184"/>
    </row>
    <row r="9" spans="1:9" ht="12.75">
      <c r="A9" s="179" t="s">
        <v>11</v>
      </c>
      <c r="B9" s="220"/>
      <c r="C9" s="180">
        <f t="shared" si="1"/>
        <v>0</v>
      </c>
      <c r="D9" s="181">
        <f t="shared" si="0"/>
        <v>0</v>
      </c>
      <c r="F9" s="170" t="s">
        <v>1</v>
      </c>
      <c r="G9" s="182"/>
      <c r="H9" s="183"/>
      <c r="I9" s="184"/>
    </row>
    <row r="10" spans="1:9" ht="12.75">
      <c r="A10" s="179" t="s">
        <v>12</v>
      </c>
      <c r="B10" s="220" t="s">
        <v>1</v>
      </c>
      <c r="C10" s="180" t="e">
        <f t="shared" si="1"/>
        <v>#VALUE!</v>
      </c>
      <c r="D10" s="181" t="e">
        <f t="shared" si="0"/>
        <v>#VALUE!</v>
      </c>
      <c r="G10" s="182"/>
      <c r="H10" s="183"/>
      <c r="I10" s="184"/>
    </row>
    <row r="11" spans="1:9" ht="12.75">
      <c r="A11" s="179" t="s">
        <v>14</v>
      </c>
      <c r="B11" s="220" t="s">
        <v>1</v>
      </c>
      <c r="C11" s="180" t="e">
        <f t="shared" si="1"/>
        <v>#VALUE!</v>
      </c>
      <c r="D11" s="181" t="e">
        <f t="shared" si="0"/>
        <v>#VALUE!</v>
      </c>
      <c r="G11" s="182"/>
      <c r="H11" s="183"/>
      <c r="I11" s="184"/>
    </row>
    <row r="12" spans="1:9" ht="12.75">
      <c r="A12" s="179" t="s">
        <v>22</v>
      </c>
      <c r="B12" s="220" t="s">
        <v>1</v>
      </c>
      <c r="C12" s="180" t="e">
        <f t="shared" si="1"/>
        <v>#VALUE!</v>
      </c>
      <c r="D12" s="181" t="e">
        <f t="shared" si="0"/>
        <v>#VALUE!</v>
      </c>
      <c r="G12" s="182"/>
      <c r="H12" s="183"/>
      <c r="I12" s="184"/>
    </row>
    <row r="13" spans="1:9" ht="12.75">
      <c r="A13" s="179" t="s">
        <v>13</v>
      </c>
      <c r="B13" s="220" t="s">
        <v>1</v>
      </c>
      <c r="C13" s="180" t="e">
        <f t="shared" si="1"/>
        <v>#VALUE!</v>
      </c>
      <c r="D13" s="181" t="e">
        <f t="shared" si="0"/>
        <v>#VALUE!</v>
      </c>
      <c r="G13" s="182"/>
      <c r="H13" s="183"/>
      <c r="I13" s="184"/>
    </row>
    <row r="14" spans="1:9" ht="12.75">
      <c r="A14" s="185" t="s">
        <v>21</v>
      </c>
      <c r="B14" s="221" t="s">
        <v>1</v>
      </c>
      <c r="C14" s="186" t="e">
        <f t="shared" si="1"/>
        <v>#VALUE!</v>
      </c>
      <c r="D14" s="187" t="e">
        <f t="shared" si="0"/>
        <v>#VALUE!</v>
      </c>
      <c r="G14" s="182"/>
      <c r="H14" s="183"/>
      <c r="I14" s="184"/>
    </row>
    <row r="15" spans="1:4" ht="12.75">
      <c r="A15" s="188" t="s">
        <v>15</v>
      </c>
      <c r="B15" s="189">
        <f>SUM(B6:B11)</f>
        <v>0</v>
      </c>
      <c r="C15" s="189" t="e">
        <f>SUM(C6:C11)</f>
        <v>#VALUE!</v>
      </c>
      <c r="D15" s="190" t="e">
        <f>SUM(D6:D11)</f>
        <v>#VALUE!</v>
      </c>
    </row>
    <row r="16" spans="2:4" ht="12.75">
      <c r="B16" s="182"/>
      <c r="C16" s="182"/>
      <c r="D16" s="182"/>
    </row>
    <row r="17" spans="2:4" ht="12.75">
      <c r="B17" s="182"/>
      <c r="C17" s="182"/>
      <c r="D17" s="182"/>
    </row>
    <row r="18" spans="2:4" ht="12.75">
      <c r="B18" s="182"/>
      <c r="C18" s="182"/>
      <c r="D18" s="182"/>
    </row>
    <row r="19" spans="1:6" ht="12.75">
      <c r="A19" s="173" t="s">
        <v>20</v>
      </c>
      <c r="B19" s="174" t="s">
        <v>5</v>
      </c>
      <c r="C19" s="175" t="s">
        <v>6</v>
      </c>
      <c r="D19" s="175" t="s">
        <v>7</v>
      </c>
      <c r="E19" s="191" t="s">
        <v>16</v>
      </c>
      <c r="F19" s="192" t="s">
        <v>17</v>
      </c>
    </row>
    <row r="20" spans="1:6" ht="12.75">
      <c r="A20" s="179" t="s">
        <v>8</v>
      </c>
      <c r="B20" s="220"/>
      <c r="C20" s="193">
        <f aca="true" t="shared" si="2" ref="C20:C25">PRODUCT(B20*0.220462)</f>
        <v>0</v>
      </c>
      <c r="D20" s="193">
        <f aca="true" t="shared" si="3" ref="D20:D25">PRODUCT(C20*43.56)</f>
        <v>0</v>
      </c>
      <c r="E20" s="194">
        <f>PRODUCT(B20,B6)</f>
        <v>0</v>
      </c>
      <c r="F20" s="195">
        <f>PRODUCT(D20,D6)</f>
        <v>0</v>
      </c>
    </row>
    <row r="21" spans="1:6" ht="12.75">
      <c r="A21" s="179" t="s">
        <v>9</v>
      </c>
      <c r="B21" s="220"/>
      <c r="C21" s="193">
        <f t="shared" si="2"/>
        <v>0</v>
      </c>
      <c r="D21" s="193">
        <f t="shared" si="3"/>
        <v>0</v>
      </c>
      <c r="E21" s="194">
        <f>PRODUCT(B21,B7)</f>
        <v>0</v>
      </c>
      <c r="F21" s="195">
        <f>PRODUCT(D21,D7)</f>
        <v>0</v>
      </c>
    </row>
    <row r="22" spans="1:6" ht="12.75">
      <c r="A22" s="179" t="s">
        <v>10</v>
      </c>
      <c r="B22" s="220"/>
      <c r="C22" s="193">
        <f t="shared" si="2"/>
        <v>0</v>
      </c>
      <c r="D22" s="193">
        <f t="shared" si="3"/>
        <v>0</v>
      </c>
      <c r="E22" s="194">
        <f>PRODUCT(B22,B8)</f>
        <v>0</v>
      </c>
      <c r="F22" s="195">
        <f>PRODUCT(D22,D8)</f>
        <v>0</v>
      </c>
    </row>
    <row r="23" spans="1:6" ht="12.75">
      <c r="A23" s="179" t="s">
        <v>11</v>
      </c>
      <c r="B23" s="220"/>
      <c r="C23" s="193">
        <f t="shared" si="2"/>
        <v>0</v>
      </c>
      <c r="D23" s="193">
        <f t="shared" si="3"/>
        <v>0</v>
      </c>
      <c r="E23" s="194">
        <f>PRODUCT(B23,B9)</f>
        <v>0</v>
      </c>
      <c r="F23" s="195">
        <f>PRODUCT(D23,D9)</f>
        <v>0</v>
      </c>
    </row>
    <row r="24" spans="1:6" ht="12.75">
      <c r="A24" s="179" t="s">
        <v>13</v>
      </c>
      <c r="B24" s="220"/>
      <c r="C24" s="193">
        <f t="shared" si="2"/>
        <v>0</v>
      </c>
      <c r="D24" s="193">
        <f t="shared" si="3"/>
        <v>0</v>
      </c>
      <c r="E24" s="194">
        <f>PRODUCT(B24,B13)</f>
        <v>0</v>
      </c>
      <c r="F24" s="195" t="e">
        <f>PRODUCT(D24,D13)</f>
        <v>#VALUE!</v>
      </c>
    </row>
    <row r="25" spans="1:6" ht="12.75">
      <c r="A25" s="185" t="s">
        <v>21</v>
      </c>
      <c r="B25" s="221"/>
      <c r="C25" s="196">
        <f t="shared" si="2"/>
        <v>0</v>
      </c>
      <c r="D25" s="196">
        <f t="shared" si="3"/>
        <v>0</v>
      </c>
      <c r="E25" s="197">
        <f>PRODUCT(B25,B14)</f>
        <v>0</v>
      </c>
      <c r="F25" s="198" t="e">
        <f>PRODUCT(D25,D14)</f>
        <v>#VALUE!</v>
      </c>
    </row>
    <row r="26" spans="1:6" ht="12.75">
      <c r="A26" s="188" t="s">
        <v>15</v>
      </c>
      <c r="B26" s="189"/>
      <c r="C26" s="199"/>
      <c r="D26" s="200"/>
      <c r="E26" s="201">
        <f>SUM(SUM(E20:E25))</f>
        <v>0</v>
      </c>
      <c r="F26" s="202" t="e">
        <f>SUM(SUM(F20:F25))</f>
        <v>#VALUE!</v>
      </c>
    </row>
    <row r="27" spans="2:4" ht="12.75">
      <c r="B27" s="182"/>
      <c r="C27" s="182"/>
      <c r="D27" s="182"/>
    </row>
    <row r="28" spans="2:4" ht="12.75">
      <c r="B28" s="182"/>
      <c r="C28" s="182"/>
      <c r="D28" s="182"/>
    </row>
  </sheetData>
  <printOptions/>
  <pageMargins left="0.5" right="0.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3">
      <selection activeCell="A15" sqref="A15"/>
    </sheetView>
  </sheetViews>
  <sheetFormatPr defaultColWidth="9.140625" defaultRowHeight="12.75"/>
  <cols>
    <col min="1" max="1" width="121.28125" style="204" customWidth="1"/>
    <col min="2" max="16384" width="9.140625" style="204" customWidth="1"/>
  </cols>
  <sheetData>
    <row r="1" ht="22.5">
      <c r="A1" s="203"/>
    </row>
    <row r="2" ht="22.5">
      <c r="A2" s="205"/>
    </row>
    <row r="3" ht="22.5">
      <c r="A3" s="205"/>
    </row>
    <row r="4" ht="32.25">
      <c r="A4" s="206" t="str">
        <f>Cover!A10</f>
        <v>Oga Golf Club</v>
      </c>
    </row>
    <row r="5" ht="32.25">
      <c r="A5" s="206" t="str">
        <f>Cover!A11</f>
        <v>男　鹿　ゴ　ル　フ　ク　ラ　ブ</v>
      </c>
    </row>
    <row r="6" ht="22.5">
      <c r="A6" s="205"/>
    </row>
    <row r="7" ht="22.5">
      <c r="A7" s="205"/>
    </row>
    <row r="8" ht="44.25">
      <c r="A8" s="207" t="s">
        <v>1</v>
      </c>
    </row>
    <row r="9" ht="22.5">
      <c r="A9" s="205"/>
    </row>
    <row r="10" ht="27">
      <c r="A10" s="208" t="s">
        <v>24</v>
      </c>
    </row>
    <row r="11" ht="27">
      <c r="A11" s="208" t="s">
        <v>23</v>
      </c>
    </row>
    <row r="12" ht="27">
      <c r="A12" s="208"/>
    </row>
    <row r="13" ht="27">
      <c r="A13" s="208"/>
    </row>
    <row r="14" ht="27">
      <c r="A14" s="208"/>
    </row>
    <row r="15" ht="22.5">
      <c r="A15" s="205"/>
    </row>
    <row r="16" ht="22.5">
      <c r="A16" s="205"/>
    </row>
    <row r="17" ht="22.5">
      <c r="A17" s="205"/>
    </row>
    <row r="18" ht="22.5">
      <c r="A18" s="205"/>
    </row>
    <row r="19" ht="22.5">
      <c r="A19" s="205"/>
    </row>
    <row r="20" ht="22.5">
      <c r="A20" s="205"/>
    </row>
    <row r="21" ht="22.5">
      <c r="A21" s="205"/>
    </row>
    <row r="22" ht="22.5">
      <c r="A22" s="205"/>
    </row>
    <row r="23" ht="22.5">
      <c r="A23" s="205" t="s">
        <v>25</v>
      </c>
    </row>
    <row r="24" ht="22.5">
      <c r="A24" s="209">
        <v>37580</v>
      </c>
    </row>
    <row r="25" ht="22.5">
      <c r="A25" s="209"/>
    </row>
    <row r="26" ht="23.25" thickBot="1">
      <c r="A26" s="2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6"/>
  <sheetViews>
    <sheetView workbookViewId="0" topLeftCell="A1">
      <selection activeCell="A15" sqref="A15"/>
    </sheetView>
  </sheetViews>
  <sheetFormatPr defaultColWidth="9.140625" defaultRowHeight="12.75"/>
  <cols>
    <col min="1" max="1" width="15.421875" style="8" customWidth="1"/>
    <col min="2" max="2" width="9.7109375" style="57" customWidth="1"/>
    <col min="3" max="7" width="12.7109375" style="13" customWidth="1"/>
    <col min="8" max="8" width="12.7109375" style="58" customWidth="1"/>
    <col min="9" max="9" width="12.7109375" style="59" customWidth="1"/>
    <col min="10" max="10" width="18.7109375" style="8" customWidth="1"/>
    <col min="11" max="11" width="18.140625" style="8" customWidth="1"/>
    <col min="12" max="12" width="14.57421875" style="57" customWidth="1"/>
    <col min="13" max="16384" width="9.140625" style="8" customWidth="1"/>
  </cols>
  <sheetData>
    <row r="1" spans="1:12" ht="10.5">
      <c r="A1" s="2" t="s">
        <v>57</v>
      </c>
      <c r="B1" s="3"/>
      <c r="C1" s="4"/>
      <c r="D1" s="4"/>
      <c r="E1" s="4"/>
      <c r="F1" s="4"/>
      <c r="G1" s="5"/>
      <c r="H1" s="6"/>
      <c r="I1" s="7"/>
      <c r="L1" s="8"/>
    </row>
    <row r="2" spans="1:12" ht="10.5">
      <c r="A2" s="9" t="s">
        <v>106</v>
      </c>
      <c r="B2" s="10"/>
      <c r="C2" s="11"/>
      <c r="D2" s="11"/>
      <c r="F2" s="14">
        <f>Audit!A24</f>
        <v>37580</v>
      </c>
      <c r="G2" s="15"/>
      <c r="H2" s="16"/>
      <c r="I2" s="17"/>
      <c r="L2" s="8"/>
    </row>
    <row r="3" spans="1:12" ht="10.5">
      <c r="A3" s="9" t="s">
        <v>18</v>
      </c>
      <c r="B3" s="18" t="str">
        <f>Cover!A10</f>
        <v>Oga Golf Club</v>
      </c>
      <c r="C3" s="19"/>
      <c r="D3" s="19"/>
      <c r="F3" s="10" t="s">
        <v>145</v>
      </c>
      <c r="G3" s="19"/>
      <c r="H3" s="20"/>
      <c r="I3" s="17"/>
      <c r="L3" s="8"/>
    </row>
    <row r="4" spans="1:12" ht="4.5" customHeight="1">
      <c r="A4" s="9"/>
      <c r="B4" s="18"/>
      <c r="C4" s="19"/>
      <c r="D4" s="19"/>
      <c r="E4" s="19"/>
      <c r="F4" s="19"/>
      <c r="G4" s="19"/>
      <c r="H4" s="20"/>
      <c r="I4" s="21"/>
      <c r="L4" s="8"/>
    </row>
    <row r="5" spans="1:12" ht="10.5">
      <c r="A5" s="22"/>
      <c r="B5" s="23" t="s">
        <v>108</v>
      </c>
      <c r="C5" s="24" t="s">
        <v>152</v>
      </c>
      <c r="D5" s="24" t="s">
        <v>153</v>
      </c>
      <c r="E5" s="24" t="s">
        <v>154</v>
      </c>
      <c r="F5" s="24" t="s">
        <v>150</v>
      </c>
      <c r="G5" s="24" t="s">
        <v>64</v>
      </c>
      <c r="H5" s="25" t="s">
        <v>109</v>
      </c>
      <c r="I5" s="26" t="s">
        <v>66</v>
      </c>
      <c r="L5" s="8"/>
    </row>
    <row r="6" spans="1:12" ht="10.5">
      <c r="A6" s="27" t="s">
        <v>27</v>
      </c>
      <c r="B6" s="28" t="s">
        <v>27</v>
      </c>
      <c r="C6" s="222">
        <v>6.9</v>
      </c>
      <c r="D6" s="222">
        <v>7</v>
      </c>
      <c r="E6" s="222">
        <v>6.5</v>
      </c>
      <c r="F6" s="222">
        <v>7</v>
      </c>
      <c r="G6" s="31">
        <f>AVERAGE(C6:F6)</f>
        <v>6.85</v>
      </c>
      <c r="H6" s="29">
        <v>6.5</v>
      </c>
      <c r="I6" s="30">
        <f>SUM(G6-H6)</f>
        <v>0.34999999999999964</v>
      </c>
      <c r="L6" s="8"/>
    </row>
    <row r="7" spans="1:12" ht="10.5">
      <c r="A7" s="27" t="s">
        <v>67</v>
      </c>
      <c r="B7" s="28" t="s">
        <v>110</v>
      </c>
      <c r="C7" s="222">
        <v>11.87</v>
      </c>
      <c r="D7" s="222">
        <v>4.27</v>
      </c>
      <c r="E7" s="222">
        <v>10.19</v>
      </c>
      <c r="F7" s="222">
        <v>5.41</v>
      </c>
      <c r="G7" s="31">
        <f aca="true" t="shared" si="0" ref="G7:G13">AVERAGE(C7:F7)</f>
        <v>7.935</v>
      </c>
      <c r="H7" s="31">
        <v>10</v>
      </c>
      <c r="I7" s="30">
        <f>SUM(G7-H7)</f>
        <v>-2.0650000000000004</v>
      </c>
      <c r="L7" s="8"/>
    </row>
    <row r="8" spans="1:12" ht="10.5">
      <c r="A8" s="27" t="s">
        <v>111</v>
      </c>
      <c r="B8" s="28" t="s">
        <v>73</v>
      </c>
      <c r="C8" s="222">
        <v>1.79</v>
      </c>
      <c r="D8" s="222">
        <v>0.42</v>
      </c>
      <c r="E8" s="222">
        <v>1.27</v>
      </c>
      <c r="F8" s="222">
        <v>0.42</v>
      </c>
      <c r="G8" s="31">
        <f t="shared" si="0"/>
        <v>0.975</v>
      </c>
      <c r="H8" s="31">
        <v>1.5</v>
      </c>
      <c r="I8" s="30">
        <f>SUM(G8-H8)</f>
        <v>-0.525</v>
      </c>
      <c r="L8" s="8"/>
    </row>
    <row r="9" spans="1:12" ht="10.5">
      <c r="A9" s="27" t="s">
        <v>112</v>
      </c>
      <c r="B9" s="28" t="s">
        <v>113</v>
      </c>
      <c r="C9" s="222">
        <v>56</v>
      </c>
      <c r="D9" s="222">
        <v>17</v>
      </c>
      <c r="E9" s="222">
        <v>45</v>
      </c>
      <c r="F9" s="222">
        <v>17</v>
      </c>
      <c r="G9" s="31">
        <f t="shared" si="0"/>
        <v>33.75</v>
      </c>
      <c r="H9" s="29">
        <v>30</v>
      </c>
      <c r="I9" s="30">
        <f>SUM(G9-H9)</f>
        <v>3.75</v>
      </c>
      <c r="L9" s="8"/>
    </row>
    <row r="10" spans="1:12" ht="10.5">
      <c r="A10" s="27" t="s">
        <v>112</v>
      </c>
      <c r="B10" s="28" t="s">
        <v>28</v>
      </c>
      <c r="C10" s="32">
        <f>PRODUCT(C9/2)</f>
        <v>28</v>
      </c>
      <c r="D10" s="32">
        <f>PRODUCT(D9/2)</f>
        <v>8.5</v>
      </c>
      <c r="E10" s="32">
        <f>PRODUCT(E9/2)</f>
        <v>22.5</v>
      </c>
      <c r="F10" s="32">
        <f>PRODUCT(F9/2)</f>
        <v>8.5</v>
      </c>
      <c r="G10" s="31">
        <f>PRODUCT(G9/2)</f>
        <v>16.875</v>
      </c>
      <c r="H10" s="29">
        <v>17.5</v>
      </c>
      <c r="I10" s="30">
        <f aca="true" t="shared" si="1" ref="I10:I15">SUM(G10-H10)</f>
        <v>-0.625</v>
      </c>
      <c r="L10" s="8"/>
    </row>
    <row r="11" spans="1:12" ht="10.5">
      <c r="A11" s="27" t="s">
        <v>114</v>
      </c>
      <c r="B11" s="33" t="s">
        <v>28</v>
      </c>
      <c r="C11" s="222">
        <v>0.7</v>
      </c>
      <c r="D11" s="222">
        <v>0.4</v>
      </c>
      <c r="E11" s="222">
        <v>0.4</v>
      </c>
      <c r="F11" s="222">
        <v>0.6</v>
      </c>
      <c r="G11" s="31">
        <f t="shared" si="0"/>
        <v>0.525</v>
      </c>
      <c r="H11" s="29">
        <v>20</v>
      </c>
      <c r="I11" s="30">
        <f t="shared" si="1"/>
        <v>-19.475</v>
      </c>
      <c r="L11" s="8"/>
    </row>
    <row r="12" spans="1:12" ht="10.5">
      <c r="A12" s="27" t="s">
        <v>115</v>
      </c>
      <c r="B12" s="28" t="s">
        <v>28</v>
      </c>
      <c r="C12" s="223">
        <v>14.5</v>
      </c>
      <c r="D12" s="223">
        <v>11.5</v>
      </c>
      <c r="E12" s="223">
        <v>15.7</v>
      </c>
      <c r="F12" s="223">
        <v>11.2</v>
      </c>
      <c r="G12" s="109">
        <f t="shared" si="0"/>
        <v>13.225000000000001</v>
      </c>
      <c r="H12" s="34">
        <v>5</v>
      </c>
      <c r="I12" s="35">
        <f t="shared" si="1"/>
        <v>8.225000000000001</v>
      </c>
      <c r="L12" s="8"/>
    </row>
    <row r="13" spans="1:12" ht="10.5">
      <c r="A13" s="27" t="s">
        <v>116</v>
      </c>
      <c r="B13" s="28" t="s">
        <v>28</v>
      </c>
      <c r="C13" s="32">
        <f>PRODUCT(SUM(C11:C12))</f>
        <v>15.2</v>
      </c>
      <c r="D13" s="32">
        <f>PRODUCT(SUM(D11:D12))</f>
        <v>11.9</v>
      </c>
      <c r="E13" s="32">
        <f>PRODUCT(SUM(E11:E12))</f>
        <v>16.099999999999998</v>
      </c>
      <c r="F13" s="32">
        <f>PRODUCT(SUM(F11:F12))</f>
        <v>11.799999999999999</v>
      </c>
      <c r="G13" s="109">
        <f t="shared" si="0"/>
        <v>13.75</v>
      </c>
      <c r="H13" s="29">
        <v>25</v>
      </c>
      <c r="I13" s="30">
        <f t="shared" si="1"/>
        <v>-11.25</v>
      </c>
      <c r="L13" s="8"/>
    </row>
    <row r="14" spans="1:12" ht="10.5">
      <c r="A14" s="27" t="s">
        <v>117</v>
      </c>
      <c r="B14" s="28" t="s">
        <v>118</v>
      </c>
      <c r="C14" s="36">
        <f>PRODUCT(C11/C12)</f>
        <v>0.04827586206896552</v>
      </c>
      <c r="D14" s="36">
        <f>PRODUCT(D11/D12)</f>
        <v>0.034782608695652174</v>
      </c>
      <c r="E14" s="36">
        <f>PRODUCT(E11/E12)</f>
        <v>0.025477707006369428</v>
      </c>
      <c r="F14" s="36">
        <f>PRODUCT(F11/F12)</f>
        <v>0.053571428571428575</v>
      </c>
      <c r="G14" s="31">
        <f>PRODUCT(G11/G12)</f>
        <v>0.03969754253308128</v>
      </c>
      <c r="H14" s="37">
        <v>0.17</v>
      </c>
      <c r="I14" s="30">
        <f t="shared" si="1"/>
        <v>-0.13030245746691874</v>
      </c>
      <c r="L14" s="8"/>
    </row>
    <row r="15" spans="1:12" ht="10.5">
      <c r="A15" s="27" t="s">
        <v>79</v>
      </c>
      <c r="B15" s="28" t="s">
        <v>28</v>
      </c>
      <c r="C15" s="222">
        <v>20</v>
      </c>
      <c r="D15" s="222">
        <v>13</v>
      </c>
      <c r="E15" s="222">
        <v>20</v>
      </c>
      <c r="F15" s="222">
        <v>15</v>
      </c>
      <c r="G15" s="31">
        <f>AVERAGE(C15:F15)</f>
        <v>17</v>
      </c>
      <c r="H15" s="39">
        <v>30</v>
      </c>
      <c r="I15" s="30">
        <f t="shared" si="1"/>
        <v>-13</v>
      </c>
      <c r="L15" s="8"/>
    </row>
    <row r="16" spans="1:12" ht="10.5">
      <c r="A16" s="27" t="s">
        <v>119</v>
      </c>
      <c r="B16" s="28" t="s">
        <v>113</v>
      </c>
      <c r="C16" s="222">
        <v>1740</v>
      </c>
      <c r="D16" s="222">
        <v>586</v>
      </c>
      <c r="E16" s="222">
        <v>1150</v>
      </c>
      <c r="F16" s="222">
        <v>637</v>
      </c>
      <c r="G16" s="31">
        <f>AVERAGE(C16:F16)</f>
        <v>1028.25</v>
      </c>
      <c r="H16" s="38">
        <v>300</v>
      </c>
      <c r="I16" s="30">
        <f>SUM(G16-H16)</f>
        <v>728.25</v>
      </c>
      <c r="L16" s="8"/>
    </row>
    <row r="17" spans="1:12" ht="10.5">
      <c r="A17" s="27" t="s">
        <v>120</v>
      </c>
      <c r="B17" s="28" t="s">
        <v>113</v>
      </c>
      <c r="C17" s="222">
        <v>760</v>
      </c>
      <c r="D17" s="222">
        <v>531</v>
      </c>
      <c r="E17" s="224">
        <v>682</v>
      </c>
      <c r="F17" s="222">
        <v>623</v>
      </c>
      <c r="G17" s="31">
        <f>AVERAGE(C17:F17)</f>
        <v>649</v>
      </c>
      <c r="H17" s="38">
        <v>350</v>
      </c>
      <c r="I17" s="30">
        <f>SUM(G17-H17)</f>
        <v>299</v>
      </c>
      <c r="L17" s="8"/>
    </row>
    <row r="18" spans="1:12" ht="10.5">
      <c r="A18" s="27"/>
      <c r="B18" s="20"/>
      <c r="C18" s="15"/>
      <c r="D18" s="15"/>
      <c r="E18" s="15"/>
      <c r="F18" s="15"/>
      <c r="G18" s="46"/>
      <c r="H18" s="41"/>
      <c r="I18" s="42"/>
      <c r="L18" s="8"/>
    </row>
    <row r="19" spans="1:12" ht="10.5">
      <c r="A19" s="43" t="s">
        <v>7</v>
      </c>
      <c r="B19" s="20" t="s">
        <v>1</v>
      </c>
      <c r="C19" s="15"/>
      <c r="D19" s="15"/>
      <c r="E19" s="15"/>
      <c r="F19" s="15"/>
      <c r="G19" s="46"/>
      <c r="H19" s="41"/>
      <c r="I19" s="42"/>
      <c r="L19" s="8"/>
    </row>
    <row r="20" spans="1:12" ht="10.5">
      <c r="A20" s="27" t="s">
        <v>30</v>
      </c>
      <c r="B20" s="28" t="s">
        <v>113</v>
      </c>
      <c r="C20" s="225">
        <v>3378</v>
      </c>
      <c r="D20" s="225">
        <v>1122</v>
      </c>
      <c r="E20" s="225">
        <v>2716</v>
      </c>
      <c r="F20" s="225">
        <v>1540</v>
      </c>
      <c r="G20" s="52">
        <f>AVERAGE(C20:F20)</f>
        <v>2189</v>
      </c>
      <c r="H20" s="39">
        <f>(AVERAGE(C7:F7))*400*0.68</f>
        <v>2158.32</v>
      </c>
      <c r="I20" s="44">
        <f>SUM(G20-H20)</f>
        <v>30.679999999999836</v>
      </c>
      <c r="L20" s="8"/>
    </row>
    <row r="21" spans="1:12" ht="10.5">
      <c r="A21" s="27" t="s">
        <v>33</v>
      </c>
      <c r="B21" s="28" t="s">
        <v>113</v>
      </c>
      <c r="C21" s="225">
        <v>432</v>
      </c>
      <c r="D21" s="225">
        <v>214</v>
      </c>
      <c r="E21" s="225">
        <v>326</v>
      </c>
      <c r="F21" s="225">
        <v>210</v>
      </c>
      <c r="G21" s="52">
        <f>AVERAGE(C21:F21)</f>
        <v>295.5</v>
      </c>
      <c r="H21" s="39">
        <f>(AVERAGE(C7:F7))*240*0.15</f>
        <v>285.65999999999997</v>
      </c>
      <c r="I21" s="44">
        <f>SUM(G21-H21)</f>
        <v>9.840000000000032</v>
      </c>
      <c r="L21" s="8"/>
    </row>
    <row r="22" spans="1:12" ht="10.5">
      <c r="A22" s="27" t="s">
        <v>36</v>
      </c>
      <c r="B22" s="28" t="s">
        <v>113</v>
      </c>
      <c r="C22" s="225">
        <v>522</v>
      </c>
      <c r="D22" s="225">
        <v>198</v>
      </c>
      <c r="E22" s="225">
        <v>436</v>
      </c>
      <c r="F22" s="225">
        <v>234</v>
      </c>
      <c r="G22" s="52">
        <f>AVERAGE(C22:F22)</f>
        <v>347.5</v>
      </c>
      <c r="H22" s="39">
        <f>(AVERAGE(C7:F7))*780*0.05</f>
        <v>309.465</v>
      </c>
      <c r="I22" s="44">
        <f>SUM(G22-H22)</f>
        <v>38.035000000000025</v>
      </c>
      <c r="L22" s="8"/>
    </row>
    <row r="23" spans="1:12" ht="10.5">
      <c r="A23" s="27" t="s">
        <v>39</v>
      </c>
      <c r="B23" s="28" t="s">
        <v>113</v>
      </c>
      <c r="C23" s="225">
        <v>114</v>
      </c>
      <c r="D23" s="225">
        <v>62</v>
      </c>
      <c r="E23" s="225">
        <v>100</v>
      </c>
      <c r="F23" s="225">
        <v>68</v>
      </c>
      <c r="G23" s="52">
        <f>AVERAGE(C23:F23)</f>
        <v>86</v>
      </c>
      <c r="H23" s="39">
        <f>(AVERAGE(C7:F7))*1390*0.01</f>
        <v>110.2965</v>
      </c>
      <c r="I23" s="44">
        <f>SUM(G23-H23)</f>
        <v>-24.296499999999995</v>
      </c>
      <c r="L23" s="8"/>
    </row>
    <row r="24" spans="1:12" ht="10.5">
      <c r="A24" s="27"/>
      <c r="B24" s="20"/>
      <c r="C24" s="15"/>
      <c r="D24" s="15"/>
      <c r="E24" s="15"/>
      <c r="F24" s="15"/>
      <c r="G24" s="46"/>
      <c r="H24" s="41"/>
      <c r="I24" s="42"/>
      <c r="L24" s="8"/>
    </row>
    <row r="25" spans="1:12" ht="10.5">
      <c r="A25" s="43" t="s">
        <v>29</v>
      </c>
      <c r="B25" s="20" t="s">
        <v>1</v>
      </c>
      <c r="C25" s="15"/>
      <c r="D25" s="15"/>
      <c r="E25" s="15"/>
      <c r="F25" s="15"/>
      <c r="G25" s="46"/>
      <c r="H25" s="41"/>
      <c r="I25" s="42"/>
      <c r="L25" s="8"/>
    </row>
    <row r="26" spans="1:12" ht="10.5">
      <c r="A26" s="27" t="s">
        <v>30</v>
      </c>
      <c r="B26" s="28" t="s">
        <v>28</v>
      </c>
      <c r="C26" s="45">
        <f aca="true" t="shared" si="2" ref="C26:H29">PRODUCT(C20/2)</f>
        <v>1689</v>
      </c>
      <c r="D26" s="45">
        <f t="shared" si="2"/>
        <v>561</v>
      </c>
      <c r="E26" s="45">
        <f t="shared" si="2"/>
        <v>1358</v>
      </c>
      <c r="F26" s="45">
        <f t="shared" si="2"/>
        <v>770</v>
      </c>
      <c r="G26" s="52">
        <f t="shared" si="2"/>
        <v>1094.5</v>
      </c>
      <c r="H26" s="39">
        <f t="shared" si="2"/>
        <v>1079.16</v>
      </c>
      <c r="I26" s="44">
        <f>SUM(G26-H26)</f>
        <v>15.339999999999918</v>
      </c>
      <c r="L26" s="8"/>
    </row>
    <row r="27" spans="1:12" ht="10.5">
      <c r="A27" s="27" t="s">
        <v>33</v>
      </c>
      <c r="B27" s="28" t="s">
        <v>28</v>
      </c>
      <c r="C27" s="45">
        <f t="shared" si="2"/>
        <v>216</v>
      </c>
      <c r="D27" s="45">
        <f t="shared" si="2"/>
        <v>107</v>
      </c>
      <c r="E27" s="45">
        <f t="shared" si="2"/>
        <v>163</v>
      </c>
      <c r="F27" s="45">
        <f t="shared" si="2"/>
        <v>105</v>
      </c>
      <c r="G27" s="52">
        <f t="shared" si="2"/>
        <v>147.75</v>
      </c>
      <c r="H27" s="39">
        <f t="shared" si="2"/>
        <v>142.82999999999998</v>
      </c>
      <c r="I27" s="44">
        <f>SUM(G27-H27)</f>
        <v>4.920000000000016</v>
      </c>
      <c r="L27" s="8"/>
    </row>
    <row r="28" spans="1:12" ht="10.5">
      <c r="A28" s="27" t="s">
        <v>36</v>
      </c>
      <c r="B28" s="28" t="s">
        <v>28</v>
      </c>
      <c r="C28" s="32">
        <f t="shared" si="2"/>
        <v>261</v>
      </c>
      <c r="D28" s="32">
        <f t="shared" si="2"/>
        <v>99</v>
      </c>
      <c r="E28" s="32">
        <f t="shared" si="2"/>
        <v>218</v>
      </c>
      <c r="F28" s="32">
        <f t="shared" si="2"/>
        <v>117</v>
      </c>
      <c r="G28" s="31">
        <f t="shared" si="2"/>
        <v>173.75</v>
      </c>
      <c r="H28" s="38">
        <f t="shared" si="2"/>
        <v>154.7325</v>
      </c>
      <c r="I28" s="30">
        <f>SUM(G28-H28)</f>
        <v>19.017500000000013</v>
      </c>
      <c r="L28" s="8"/>
    </row>
    <row r="29" spans="1:12" ht="10.5">
      <c r="A29" s="27" t="s">
        <v>39</v>
      </c>
      <c r="B29" s="28" t="s">
        <v>28</v>
      </c>
      <c r="C29" s="32">
        <f t="shared" si="2"/>
        <v>57</v>
      </c>
      <c r="D29" s="45">
        <f t="shared" si="2"/>
        <v>31</v>
      </c>
      <c r="E29" s="45">
        <f t="shared" si="2"/>
        <v>50</v>
      </c>
      <c r="F29" s="45">
        <f t="shared" si="2"/>
        <v>34</v>
      </c>
      <c r="G29" s="52">
        <f t="shared" si="2"/>
        <v>43</v>
      </c>
      <c r="H29" s="39">
        <f t="shared" si="2"/>
        <v>55.14825</v>
      </c>
      <c r="I29" s="44">
        <f>SUM(G29-H29)</f>
        <v>-12.148249999999997</v>
      </c>
      <c r="L29" s="8"/>
    </row>
    <row r="30" spans="1:12" ht="10.5">
      <c r="A30" s="27"/>
      <c r="B30" s="20"/>
      <c r="C30" s="15"/>
      <c r="D30" s="15"/>
      <c r="E30" s="15"/>
      <c r="F30" s="15"/>
      <c r="G30" s="40"/>
      <c r="H30" s="46"/>
      <c r="I30" s="42"/>
      <c r="L30" s="8"/>
    </row>
    <row r="31" spans="1:12" ht="10.5">
      <c r="A31" s="43" t="s">
        <v>121</v>
      </c>
      <c r="B31" s="20" t="s">
        <v>1</v>
      </c>
      <c r="C31" s="15" t="s">
        <v>1</v>
      </c>
      <c r="D31" s="15"/>
      <c r="E31" s="15"/>
      <c r="F31" s="15"/>
      <c r="G31" s="40"/>
      <c r="H31" s="46"/>
      <c r="I31" s="42" t="s">
        <v>1</v>
      </c>
      <c r="L31" s="8"/>
    </row>
    <row r="32" spans="1:12" ht="10.5">
      <c r="A32" s="27" t="s">
        <v>30</v>
      </c>
      <c r="B32" s="28" t="s">
        <v>73</v>
      </c>
      <c r="C32" s="47">
        <f>PRODUCT(C20/(C7*400))</f>
        <v>0.7114574557708508</v>
      </c>
      <c r="D32" s="47">
        <f>PRODUCT(D20/(D7*400))</f>
        <v>0.6569086651053865</v>
      </c>
      <c r="E32" s="47">
        <f>PRODUCT(E20/(E7*400))</f>
        <v>0.6663395485770363</v>
      </c>
      <c r="F32" s="47">
        <f>PRODUCT(F20/(F7*400))</f>
        <v>0.711645101663586</v>
      </c>
      <c r="G32" s="48">
        <f>AVERAGE(C32:F32)</f>
        <v>0.6865876927792149</v>
      </c>
      <c r="H32" s="49">
        <v>0.68</v>
      </c>
      <c r="I32" s="50">
        <f>SUM(G32-H32)</f>
        <v>0.006587692779214893</v>
      </c>
      <c r="L32" s="8"/>
    </row>
    <row r="33" spans="1:12" ht="10.5">
      <c r="A33" s="27" t="s">
        <v>33</v>
      </c>
      <c r="B33" s="28" t="s">
        <v>73</v>
      </c>
      <c r="C33" s="47">
        <f>PRODUCT(C21/(C7*240))</f>
        <v>0.15164279696714408</v>
      </c>
      <c r="D33" s="47">
        <f>PRODUCT(D27/(D7*240))</f>
        <v>0.10441061670569868</v>
      </c>
      <c r="E33" s="47">
        <f>PRODUCT(E27/(E7*240))</f>
        <v>0.06665031076218515</v>
      </c>
      <c r="F33" s="47">
        <f>PRODUCT(F27/(F7*240))</f>
        <v>0.08086876155268022</v>
      </c>
      <c r="G33" s="48">
        <f>AVERAGE(C33:F33)</f>
        <v>0.10089312149692703</v>
      </c>
      <c r="H33" s="49">
        <v>0.15</v>
      </c>
      <c r="I33" s="50">
        <f>SUM(G33-H33)</f>
        <v>-0.049106878503072965</v>
      </c>
      <c r="L33" s="8"/>
    </row>
    <row r="34" spans="1:12" ht="10.5">
      <c r="A34" s="27" t="s">
        <v>36</v>
      </c>
      <c r="B34" s="28" t="s">
        <v>73</v>
      </c>
      <c r="C34" s="47">
        <f>PRODUCT(C22/(780*C7))</f>
        <v>0.05638001425701511</v>
      </c>
      <c r="D34" s="47">
        <f>PRODUCT(D22/(780*D7))</f>
        <v>0.05944874797333815</v>
      </c>
      <c r="E34" s="47">
        <f>PRODUCT(E22/(780*E7))</f>
        <v>0.05485518733801364</v>
      </c>
      <c r="F34" s="47">
        <f>PRODUCT(F22/(780*F7))</f>
        <v>0.05545286506469501</v>
      </c>
      <c r="G34" s="48">
        <f>AVERAGE(C34:F34)</f>
        <v>0.05653420365826548</v>
      </c>
      <c r="H34" s="49">
        <v>0.05</v>
      </c>
      <c r="I34" s="50">
        <f>SUM(G34-H34)</f>
        <v>0.006534203658265479</v>
      </c>
      <c r="L34" s="8"/>
    </row>
    <row r="35" spans="1:12" ht="10.5">
      <c r="A35" s="27" t="s">
        <v>39</v>
      </c>
      <c r="B35" s="28" t="s">
        <v>73</v>
      </c>
      <c r="C35" s="47">
        <f>PRODUCT(C23/(C7*1390))</f>
        <v>0.00690938403447419</v>
      </c>
      <c r="D35" s="47">
        <f>PRODUCT(D23/(D7*1390))</f>
        <v>0.010445975772075549</v>
      </c>
      <c r="E35" s="47">
        <f>PRODUCT(E23/(E7*1390))</f>
        <v>0.007060102653892588</v>
      </c>
      <c r="F35" s="47">
        <f>PRODUCT(F23/(F7*1390))</f>
        <v>0.00904267343980638</v>
      </c>
      <c r="G35" s="48">
        <f>AVERAGE(C35:F35)</f>
        <v>0.008364533975062177</v>
      </c>
      <c r="H35" s="49">
        <v>0.01</v>
      </c>
      <c r="I35" s="50">
        <f>SUM(G35-H35)</f>
        <v>-0.001635466024937823</v>
      </c>
      <c r="L35" s="8"/>
    </row>
    <row r="36" spans="1:12" ht="10.5">
      <c r="A36" s="27"/>
      <c r="B36" s="20"/>
      <c r="C36" s="15"/>
      <c r="D36" s="15"/>
      <c r="E36" s="15"/>
      <c r="F36" s="15"/>
      <c r="G36" s="40"/>
      <c r="H36" s="51"/>
      <c r="I36" s="42"/>
      <c r="L36" s="8"/>
    </row>
    <row r="37" spans="1:12" ht="10.5">
      <c r="A37" s="43" t="s">
        <v>29</v>
      </c>
      <c r="B37" s="20" t="s">
        <v>1</v>
      </c>
      <c r="C37" s="15"/>
      <c r="D37" s="15"/>
      <c r="E37" s="15"/>
      <c r="F37" s="15"/>
      <c r="G37" s="40"/>
      <c r="H37" s="46"/>
      <c r="I37" s="42" t="s">
        <v>1</v>
      </c>
      <c r="L37" s="8"/>
    </row>
    <row r="38" spans="1:12" ht="10.5">
      <c r="A38" s="27" t="s">
        <v>44</v>
      </c>
      <c r="B38" s="28" t="s">
        <v>28</v>
      </c>
      <c r="C38" s="225">
        <v>0.2</v>
      </c>
      <c r="D38" s="225">
        <v>0.2</v>
      </c>
      <c r="E38" s="225">
        <v>0.2</v>
      </c>
      <c r="F38" s="225">
        <v>0.2</v>
      </c>
      <c r="G38" s="52">
        <f aca="true" t="shared" si="3" ref="G38:G43">AVERAGE(C38:F38)</f>
        <v>0.2</v>
      </c>
      <c r="H38" s="52">
        <v>1.5</v>
      </c>
      <c r="I38" s="44">
        <f aca="true" t="shared" si="4" ref="I38:I43">SUM(G38-H38)</f>
        <v>-1.3</v>
      </c>
      <c r="L38" s="8"/>
    </row>
    <row r="39" spans="1:12" ht="10.5">
      <c r="A39" s="27" t="s">
        <v>41</v>
      </c>
      <c r="B39" s="28" t="s">
        <v>28</v>
      </c>
      <c r="C39" s="225">
        <v>269</v>
      </c>
      <c r="D39" s="225">
        <v>131</v>
      </c>
      <c r="E39" s="225">
        <v>269</v>
      </c>
      <c r="F39" s="225">
        <v>133</v>
      </c>
      <c r="G39" s="52">
        <f t="shared" si="3"/>
        <v>200.5</v>
      </c>
      <c r="H39" s="52">
        <v>250</v>
      </c>
      <c r="I39" s="44">
        <f t="shared" si="4"/>
        <v>-49.5</v>
      </c>
      <c r="L39" s="8"/>
    </row>
    <row r="40" spans="1:12" ht="10.5">
      <c r="A40" s="27" t="s">
        <v>45</v>
      </c>
      <c r="B40" s="28" t="s">
        <v>28</v>
      </c>
      <c r="C40" s="225">
        <v>53</v>
      </c>
      <c r="D40" s="225">
        <v>26</v>
      </c>
      <c r="E40" s="225">
        <v>37</v>
      </c>
      <c r="F40" s="225">
        <v>29</v>
      </c>
      <c r="G40" s="52">
        <f t="shared" si="3"/>
        <v>36.25</v>
      </c>
      <c r="H40" s="52">
        <v>60</v>
      </c>
      <c r="I40" s="44">
        <f t="shared" si="4"/>
        <v>-23.75</v>
      </c>
      <c r="L40" s="8"/>
    </row>
    <row r="41" spans="1:12" ht="10.5">
      <c r="A41" s="27" t="s">
        <v>47</v>
      </c>
      <c r="B41" s="28" t="s">
        <v>28</v>
      </c>
      <c r="C41" s="225">
        <v>8.65</v>
      </c>
      <c r="D41" s="225">
        <v>1.44</v>
      </c>
      <c r="E41" s="225">
        <v>5.61</v>
      </c>
      <c r="F41" s="225">
        <v>1.75</v>
      </c>
      <c r="G41" s="52">
        <f t="shared" si="3"/>
        <v>4.3625</v>
      </c>
      <c r="H41" s="52">
        <v>2.5</v>
      </c>
      <c r="I41" s="44">
        <f t="shared" si="4"/>
        <v>1.8624999999999998</v>
      </c>
      <c r="L41" s="8"/>
    </row>
    <row r="42" spans="1:12" ht="10.5">
      <c r="A42" s="27" t="s">
        <v>50</v>
      </c>
      <c r="B42" s="28" t="s">
        <v>28</v>
      </c>
      <c r="C42" s="225">
        <v>5.43</v>
      </c>
      <c r="D42" s="225">
        <v>2.61</v>
      </c>
      <c r="E42" s="225">
        <v>3.82</v>
      </c>
      <c r="F42" s="225">
        <v>4.17</v>
      </c>
      <c r="G42" s="52">
        <f t="shared" si="3"/>
        <v>4.0075</v>
      </c>
      <c r="H42" s="52">
        <v>12</v>
      </c>
      <c r="I42" s="44">
        <f t="shared" si="4"/>
        <v>-7.9925</v>
      </c>
      <c r="L42" s="8"/>
    </row>
    <row r="43" spans="1:12" ht="10.5">
      <c r="A43" s="27" t="s">
        <v>53</v>
      </c>
      <c r="B43" s="28" t="s">
        <v>28</v>
      </c>
      <c r="C43" s="225">
        <v>840</v>
      </c>
      <c r="D43" s="225">
        <v>469</v>
      </c>
      <c r="E43" s="225">
        <v>860</v>
      </c>
      <c r="F43" s="225">
        <v>335</v>
      </c>
      <c r="G43" s="52">
        <f t="shared" si="3"/>
        <v>626</v>
      </c>
      <c r="H43" s="52">
        <v>400</v>
      </c>
      <c r="I43" s="44">
        <f t="shared" si="4"/>
        <v>226</v>
      </c>
      <c r="L43" s="8"/>
    </row>
    <row r="44" spans="1:12" ht="10.5">
      <c r="A44" s="27" t="s">
        <v>1</v>
      </c>
      <c r="B44" s="20"/>
      <c r="C44" s="15"/>
      <c r="D44" s="15"/>
      <c r="E44" s="15"/>
      <c r="F44" s="15"/>
      <c r="G44" s="40"/>
      <c r="H44" s="46" t="s">
        <v>1</v>
      </c>
      <c r="I44" s="42" t="s">
        <v>1</v>
      </c>
      <c r="L44" s="8"/>
    </row>
    <row r="45" spans="1:12" ht="10.5">
      <c r="A45" s="43" t="s">
        <v>122</v>
      </c>
      <c r="B45" s="20" t="s">
        <v>1</v>
      </c>
      <c r="C45" s="15"/>
      <c r="D45" s="15"/>
      <c r="E45" s="15"/>
      <c r="F45" s="15"/>
      <c r="G45" s="40"/>
      <c r="H45" s="46"/>
      <c r="I45" s="42" t="s">
        <v>1</v>
      </c>
      <c r="L45" s="8"/>
    </row>
    <row r="46" spans="1:12" ht="10.5">
      <c r="A46" s="27" t="s">
        <v>123</v>
      </c>
      <c r="B46" s="28" t="s">
        <v>143</v>
      </c>
      <c r="C46" s="53">
        <f>PRODUCT(C28/C29)</f>
        <v>4.578947368421052</v>
      </c>
      <c r="D46" s="53">
        <f>PRODUCT(D28/D29)</f>
        <v>3.193548387096774</v>
      </c>
      <c r="E46" s="53">
        <f>PRODUCT(E28/E29)</f>
        <v>4.36</v>
      </c>
      <c r="F46" s="53">
        <f>PRODUCT(F28/F29)</f>
        <v>3.4411764705882355</v>
      </c>
      <c r="G46" s="52">
        <f>PRODUCT(G28/G29)</f>
        <v>4.040697674418604</v>
      </c>
      <c r="H46" s="52">
        <v>5</v>
      </c>
      <c r="I46" s="44">
        <f>SUM(G46-H46)</f>
        <v>-0.9593023255813957</v>
      </c>
      <c r="L46" s="8"/>
    </row>
    <row r="47" spans="1:12" ht="10.5">
      <c r="A47" s="27" t="s">
        <v>124</v>
      </c>
      <c r="B47" s="28" t="s">
        <v>143</v>
      </c>
      <c r="C47" s="53">
        <f>PRODUCT(C27/C28)</f>
        <v>0.8275862068965517</v>
      </c>
      <c r="D47" s="53">
        <f>PRODUCT(D27/D28)</f>
        <v>1.0808080808080809</v>
      </c>
      <c r="E47" s="53">
        <f>PRODUCT(E27/E28)</f>
        <v>0.7477064220183486</v>
      </c>
      <c r="F47" s="53">
        <f>PRODUCT(F27/F28)</f>
        <v>0.8974358974358975</v>
      </c>
      <c r="G47" s="52">
        <f>PRODUCT(G27/G28)</f>
        <v>0.8503597122302158</v>
      </c>
      <c r="H47" s="52">
        <v>2</v>
      </c>
      <c r="I47" s="44">
        <f>SUM(G47-H47)</f>
        <v>-1.1496402877697842</v>
      </c>
      <c r="L47" s="8"/>
    </row>
    <row r="48" spans="1:12" ht="10.5">
      <c r="A48" s="54" t="s">
        <v>125</v>
      </c>
      <c r="B48" s="28" t="s">
        <v>143</v>
      </c>
      <c r="C48" s="53">
        <f>PRODUCT(C26/C27)</f>
        <v>7.819444444444445</v>
      </c>
      <c r="D48" s="53">
        <f>PRODUCT(D26/D27)</f>
        <v>5.242990654205608</v>
      </c>
      <c r="E48" s="53">
        <f>PRODUCT(E26/E27)</f>
        <v>8.331288343558283</v>
      </c>
      <c r="F48" s="53">
        <f>PRODUCT(F26/F27)</f>
        <v>7.333333333333333</v>
      </c>
      <c r="G48" s="52">
        <f>PRODUCT(G26/G27)</f>
        <v>7.407783417935702</v>
      </c>
      <c r="H48" s="52">
        <v>7</v>
      </c>
      <c r="I48" s="44">
        <f>SUM(G48-H48)</f>
        <v>0.4077834179357023</v>
      </c>
      <c r="L48" s="8"/>
    </row>
    <row r="49" spans="1:12" ht="10.5">
      <c r="A49" s="55"/>
      <c r="B49" s="20"/>
      <c r="C49" s="16"/>
      <c r="D49" s="16"/>
      <c r="E49" s="16"/>
      <c r="F49" s="16"/>
      <c r="G49" s="16"/>
      <c r="H49" s="16"/>
      <c r="I49" s="56"/>
      <c r="L49" s="8"/>
    </row>
    <row r="50" spans="1:12" ht="10.5">
      <c r="A50" s="55"/>
      <c r="B50" s="20"/>
      <c r="C50" s="16"/>
      <c r="D50" s="16"/>
      <c r="E50" s="16"/>
      <c r="F50" s="16"/>
      <c r="G50" s="16"/>
      <c r="H50" s="16"/>
      <c r="I50" s="56"/>
      <c r="L50" s="8"/>
    </row>
    <row r="51" ht="10.5">
      <c r="L51" s="8"/>
    </row>
    <row r="52" spans="1:12" ht="10.5">
      <c r="A52" s="60" t="s">
        <v>126</v>
      </c>
      <c r="B52" s="61"/>
      <c r="C52" s="5"/>
      <c r="D52" s="5"/>
      <c r="E52" s="5"/>
      <c r="F52" s="5"/>
      <c r="G52" s="5"/>
      <c r="H52" s="62"/>
      <c r="I52" s="7"/>
      <c r="L52" s="8"/>
    </row>
    <row r="53" spans="1:12" ht="10.5">
      <c r="A53" s="27"/>
      <c r="B53" s="20"/>
      <c r="C53" s="63" t="str">
        <f>C5</f>
        <v>#4</v>
      </c>
      <c r="D53" s="63" t="str">
        <f>D5</f>
        <v>#7</v>
      </c>
      <c r="E53" s="63" t="str">
        <f>E5</f>
        <v>#13</v>
      </c>
      <c r="F53" s="63" t="str">
        <f>F5</f>
        <v>#14</v>
      </c>
      <c r="G53" s="64" t="s">
        <v>64</v>
      </c>
      <c r="H53" s="65" t="s">
        <v>109</v>
      </c>
      <c r="I53" s="66" t="s">
        <v>66</v>
      </c>
      <c r="L53" s="8"/>
    </row>
    <row r="54" spans="1:12" ht="10.5">
      <c r="A54" s="27" t="s">
        <v>112</v>
      </c>
      <c r="B54" s="20" t="s">
        <v>78</v>
      </c>
      <c r="C54" s="16">
        <f>PRODUCT((C9/43.56)/0.220462)</f>
        <v>5.831313803580309</v>
      </c>
      <c r="D54" s="16">
        <f>PRODUCT((D9/43.56)/0.220462)</f>
        <v>1.7702202618011649</v>
      </c>
      <c r="E54" s="16">
        <f>PRODUCT((E9/43.56)/0.220462)</f>
        <v>4.685877163591319</v>
      </c>
      <c r="F54" s="16">
        <f>PRODUCT((F9/43.56)/0.220462)</f>
        <v>1.7702202618011649</v>
      </c>
      <c r="G54" s="16">
        <f>AVERAGE(C54:F54)</f>
        <v>3.5144078726934893</v>
      </c>
      <c r="H54" s="16">
        <v>3.12</v>
      </c>
      <c r="I54" s="30">
        <f>SUM(G54-H54)</f>
        <v>0.3944078726934892</v>
      </c>
      <c r="L54" s="8"/>
    </row>
    <row r="55" spans="1:12" ht="10.5">
      <c r="A55" s="27"/>
      <c r="B55" s="20"/>
      <c r="C55" s="16"/>
      <c r="D55" s="16"/>
      <c r="E55" s="16"/>
      <c r="F55" s="16"/>
      <c r="G55" s="16"/>
      <c r="H55" s="16"/>
      <c r="I55" s="67"/>
      <c r="L55" s="8"/>
    </row>
    <row r="56" spans="1:12" ht="10.5">
      <c r="A56" s="27" t="s">
        <v>119</v>
      </c>
      <c r="B56" s="20" t="s">
        <v>78</v>
      </c>
      <c r="C56" s="16">
        <f aca="true" t="shared" si="5" ref="C56:F57">PRODUCT((C16/43.56)/0.220462)</f>
        <v>181.18725032553098</v>
      </c>
      <c r="D56" s="16">
        <f t="shared" si="5"/>
        <v>61.02053373032251</v>
      </c>
      <c r="E56" s="16">
        <f t="shared" si="5"/>
        <v>119.75019418066705</v>
      </c>
      <c r="F56" s="16">
        <f t="shared" si="5"/>
        <v>66.33119451572601</v>
      </c>
      <c r="G56" s="16">
        <f>AVERAGE(C56:F56)</f>
        <v>107.07229318806164</v>
      </c>
      <c r="H56" s="16">
        <v>26</v>
      </c>
      <c r="I56" s="44">
        <f>SUM(G56-H56)</f>
        <v>81.07229318806164</v>
      </c>
      <c r="L56" s="8"/>
    </row>
    <row r="57" spans="1:12" ht="10.5">
      <c r="A57" s="27" t="s">
        <v>120</v>
      </c>
      <c r="B57" s="20" t="s">
        <v>78</v>
      </c>
      <c r="C57" s="16">
        <f t="shared" si="5"/>
        <v>79.13925876287561</v>
      </c>
      <c r="D57" s="16">
        <f t="shared" si="5"/>
        <v>55.293350530377566</v>
      </c>
      <c r="E57" s="16">
        <f t="shared" si="5"/>
        <v>71.01707167931733</v>
      </c>
      <c r="F57" s="16">
        <f t="shared" si="5"/>
        <v>64.87336606483093</v>
      </c>
      <c r="G57" s="16">
        <f>AVERAGE(C57:F57)</f>
        <v>67.58076175935035</v>
      </c>
      <c r="H57" s="16">
        <v>36.45</v>
      </c>
      <c r="I57" s="44">
        <f>SUM(G57-H57)</f>
        <v>31.13076175935035</v>
      </c>
      <c r="L57" s="8"/>
    </row>
    <row r="58" spans="1:12" ht="10.5">
      <c r="A58" s="27"/>
      <c r="B58" s="20"/>
      <c r="C58" s="16" t="s">
        <v>1</v>
      </c>
      <c r="D58" s="16" t="s">
        <v>1</v>
      </c>
      <c r="E58" s="16" t="s">
        <v>1</v>
      </c>
      <c r="F58" s="16" t="s">
        <v>1</v>
      </c>
      <c r="G58" s="16"/>
      <c r="H58" s="16"/>
      <c r="I58" s="67"/>
      <c r="L58" s="8"/>
    </row>
    <row r="59" spans="1:12" ht="10.5">
      <c r="A59" s="27" t="s">
        <v>30</v>
      </c>
      <c r="B59" s="20" t="s">
        <v>78</v>
      </c>
      <c r="C59" s="16">
        <f aca="true" t="shared" si="6" ref="C59:F62">PRODUCT((C20/43.56)/0.220462)</f>
        <v>351.753179080255</v>
      </c>
      <c r="D59" s="16">
        <f t="shared" si="6"/>
        <v>116.8345372788769</v>
      </c>
      <c r="E59" s="16">
        <f t="shared" si="6"/>
        <v>282.81871947364493</v>
      </c>
      <c r="F59" s="16">
        <f t="shared" si="6"/>
        <v>160.36112959845846</v>
      </c>
      <c r="G59" s="16">
        <f>AVERAGE(C59:F59)</f>
        <v>227.94189135780883</v>
      </c>
      <c r="H59" s="16">
        <f>PRODUCT((H20/43.56)/0.220462)</f>
        <v>224.74716443827592</v>
      </c>
      <c r="I59" s="44">
        <f>SUM(G59-H59)</f>
        <v>3.1947269195329113</v>
      </c>
      <c r="L59" s="8"/>
    </row>
    <row r="60" spans="1:12" ht="10.5">
      <c r="A60" s="27" t="s">
        <v>33</v>
      </c>
      <c r="B60" s="20" t="s">
        <v>78</v>
      </c>
      <c r="C60" s="16">
        <f t="shared" si="6"/>
        <v>44.98442077047666</v>
      </c>
      <c r="D60" s="16">
        <f t="shared" si="6"/>
        <v>22.283949177967607</v>
      </c>
      <c r="E60" s="16">
        <f t="shared" si="6"/>
        <v>33.94657678512822</v>
      </c>
      <c r="F60" s="16">
        <f t="shared" si="6"/>
        <v>21.867426763426156</v>
      </c>
      <c r="G60" s="16">
        <f>AVERAGE(C60:F60)</f>
        <v>30.770593374249664</v>
      </c>
      <c r="H60" s="16">
        <f>PRODUCT((H21/43.56)/0.220462)</f>
        <v>29.74594823447769</v>
      </c>
      <c r="I60" s="44">
        <f>SUM(G60-H60)</f>
        <v>1.0246451397719731</v>
      </c>
      <c r="L60" s="8"/>
    </row>
    <row r="61" spans="1:12" ht="10.5">
      <c r="A61" s="27" t="s">
        <v>36</v>
      </c>
      <c r="B61" s="20" t="s">
        <v>78</v>
      </c>
      <c r="C61" s="16">
        <f t="shared" si="6"/>
        <v>54.356175097659296</v>
      </c>
      <c r="D61" s="16">
        <f t="shared" si="6"/>
        <v>20.617859519801804</v>
      </c>
      <c r="E61" s="16">
        <f t="shared" si="6"/>
        <v>45.400943185018114</v>
      </c>
      <c r="F61" s="16">
        <f t="shared" si="6"/>
        <v>24.36656125067486</v>
      </c>
      <c r="G61" s="16">
        <f>AVERAGE(C61:F61)</f>
        <v>36.18538476328852</v>
      </c>
      <c r="H61" s="16">
        <f>PRODUCT((H22/43.56)/0.220462)</f>
        <v>32.224777254017496</v>
      </c>
      <c r="I61" s="44">
        <f>SUM(G61-H61)</f>
        <v>3.9606075092710213</v>
      </c>
      <c r="L61" s="8"/>
    </row>
    <row r="62" spans="1:12" ht="10.5">
      <c r="A62" s="54" t="s">
        <v>39</v>
      </c>
      <c r="B62" s="28" t="s">
        <v>78</v>
      </c>
      <c r="C62" s="53">
        <f t="shared" si="6"/>
        <v>11.870888814431343</v>
      </c>
      <c r="D62" s="53">
        <f t="shared" si="6"/>
        <v>6.4560974253924845</v>
      </c>
      <c r="E62" s="53">
        <f t="shared" si="6"/>
        <v>10.413060363536264</v>
      </c>
      <c r="F62" s="53">
        <f t="shared" si="6"/>
        <v>7.0808810472046595</v>
      </c>
      <c r="G62" s="53">
        <f>AVERAGE(C62:F62)</f>
        <v>8.955231912641189</v>
      </c>
      <c r="H62" s="53">
        <f>PRODUCT((H23/43.56)/0.220462)</f>
        <v>11.485241123867775</v>
      </c>
      <c r="I62" s="44">
        <f>SUM(G62-H62)</f>
        <v>-2.530009211226586</v>
      </c>
      <c r="L62" s="8"/>
    </row>
    <row r="63" ht="10.5">
      <c r="L63" s="8"/>
    </row>
    <row r="64" ht="10.5">
      <c r="L64" s="8"/>
    </row>
    <row r="65" ht="10.5">
      <c r="L65" s="8"/>
    </row>
    <row r="66" ht="10.5">
      <c r="L66" s="8"/>
    </row>
    <row r="67" ht="10.5">
      <c r="L67" s="8"/>
    </row>
    <row r="68" ht="10.5">
      <c r="L68" s="8"/>
    </row>
    <row r="69" ht="10.5">
      <c r="L69" s="8"/>
    </row>
    <row r="70" ht="10.5">
      <c r="L70" s="8"/>
    </row>
    <row r="71" ht="10.5">
      <c r="L71" s="8"/>
    </row>
    <row r="72" ht="10.5">
      <c r="L72" s="8"/>
    </row>
    <row r="73" ht="10.5">
      <c r="L73" s="8"/>
    </row>
    <row r="74" ht="10.5">
      <c r="L74" s="8"/>
    </row>
    <row r="75" ht="10.5">
      <c r="L75" s="8"/>
    </row>
    <row r="76" ht="10.5">
      <c r="L76" s="8"/>
    </row>
    <row r="77" ht="10.5">
      <c r="L77" s="8"/>
    </row>
    <row r="78" ht="10.5">
      <c r="L78" s="8"/>
    </row>
    <row r="79" ht="10.5">
      <c r="L79" s="8"/>
    </row>
    <row r="80" ht="10.5">
      <c r="L80" s="8"/>
    </row>
    <row r="81" ht="10.5">
      <c r="L81" s="8"/>
    </row>
    <row r="82" ht="10.5">
      <c r="L82" s="8"/>
    </row>
    <row r="83" ht="10.5">
      <c r="L83" s="8"/>
    </row>
    <row r="84" ht="10.5">
      <c r="L84" s="8"/>
    </row>
    <row r="85" ht="10.5">
      <c r="L85" s="8"/>
    </row>
    <row r="86" ht="10.5">
      <c r="L86" s="8"/>
    </row>
    <row r="87" ht="10.5">
      <c r="L87" s="8"/>
    </row>
    <row r="88" ht="10.5">
      <c r="L88" s="8"/>
    </row>
    <row r="89" ht="10.5">
      <c r="L89" s="8"/>
    </row>
    <row r="90" ht="10.5">
      <c r="L90" s="8"/>
    </row>
    <row r="91" ht="10.5">
      <c r="L91" s="8"/>
    </row>
    <row r="92" ht="10.5">
      <c r="L92" s="8"/>
    </row>
    <row r="93" ht="10.5">
      <c r="L93" s="8"/>
    </row>
    <row r="94" ht="10.5">
      <c r="L94" s="8"/>
    </row>
    <row r="95" ht="10.5">
      <c r="L95" s="8"/>
    </row>
    <row r="96" ht="10.5">
      <c r="L96" s="8"/>
    </row>
    <row r="97" ht="10.5">
      <c r="L97" s="8"/>
    </row>
    <row r="98" ht="10.5">
      <c r="L98" s="8"/>
    </row>
    <row r="99" ht="10.5">
      <c r="L99" s="8"/>
    </row>
    <row r="100" ht="10.5">
      <c r="L100" s="8"/>
    </row>
    <row r="101" ht="10.5">
      <c r="L101" s="8"/>
    </row>
    <row r="102" ht="10.5">
      <c r="L102" s="8"/>
    </row>
    <row r="103" ht="10.5">
      <c r="L103" s="8"/>
    </row>
    <row r="104" ht="10.5">
      <c r="L104" s="8"/>
    </row>
    <row r="105" ht="10.5">
      <c r="L105" s="8"/>
    </row>
    <row r="106" ht="10.5">
      <c r="L106" s="8"/>
    </row>
    <row r="107" ht="10.5">
      <c r="L107" s="8"/>
    </row>
    <row r="108" ht="10.5">
      <c r="L108" s="8"/>
    </row>
    <row r="109" ht="10.5">
      <c r="L109" s="8"/>
    </row>
    <row r="110" ht="10.5">
      <c r="L110" s="8"/>
    </row>
    <row r="111" ht="10.5">
      <c r="L111" s="8"/>
    </row>
    <row r="112" ht="10.5">
      <c r="L112" s="8"/>
    </row>
    <row r="113" ht="10.5">
      <c r="L113" s="8"/>
    </row>
    <row r="114" ht="10.5">
      <c r="L114" s="8"/>
    </row>
    <row r="115" ht="10.5">
      <c r="L115" s="8"/>
    </row>
    <row r="116" ht="10.5">
      <c r="L116" s="8"/>
    </row>
    <row r="117" ht="10.5">
      <c r="L117" s="8"/>
    </row>
    <row r="118" ht="10.5">
      <c r="L118" s="8"/>
    </row>
    <row r="119" ht="10.5">
      <c r="L119" s="8"/>
    </row>
    <row r="120" ht="10.5">
      <c r="L120" s="8"/>
    </row>
    <row r="121" ht="10.5">
      <c r="L121" s="8"/>
    </row>
    <row r="122" ht="10.5">
      <c r="L122" s="8"/>
    </row>
    <row r="123" ht="10.5">
      <c r="L123" s="8"/>
    </row>
    <row r="124" ht="10.5">
      <c r="L124" s="8"/>
    </row>
    <row r="125" ht="10.5">
      <c r="L125" s="8"/>
    </row>
    <row r="126" ht="10.5">
      <c r="L126" s="8"/>
    </row>
    <row r="127" ht="10.5">
      <c r="L127" s="8"/>
    </row>
    <row r="128" ht="10.5">
      <c r="L128" s="8"/>
    </row>
    <row r="129" ht="10.5">
      <c r="L129" s="8"/>
    </row>
    <row r="130" ht="10.5">
      <c r="L130" s="8"/>
    </row>
    <row r="131" ht="10.5">
      <c r="L131" s="8"/>
    </row>
    <row r="132" ht="10.5">
      <c r="L132" s="8"/>
    </row>
    <row r="133" ht="10.5">
      <c r="L133" s="8"/>
    </row>
    <row r="134" ht="10.5">
      <c r="L134" s="8"/>
    </row>
    <row r="135" ht="10.5">
      <c r="L135" s="8"/>
    </row>
    <row r="136" ht="10.5">
      <c r="L136" s="8"/>
    </row>
    <row r="137" ht="10.5">
      <c r="L137" s="8"/>
    </row>
    <row r="138" ht="10.5">
      <c r="L138" s="8"/>
    </row>
    <row r="139" ht="10.5">
      <c r="L139" s="8"/>
    </row>
    <row r="140" ht="10.5">
      <c r="L140" s="8"/>
    </row>
    <row r="141" ht="10.5">
      <c r="L141" s="8"/>
    </row>
    <row r="142" ht="10.5">
      <c r="L142" s="8"/>
    </row>
    <row r="143" ht="10.5">
      <c r="L143" s="8"/>
    </row>
    <row r="144" ht="10.5">
      <c r="L144" s="8"/>
    </row>
    <row r="145" ht="10.5">
      <c r="L145" s="8"/>
    </row>
    <row r="146" ht="10.5">
      <c r="L146" s="8"/>
    </row>
    <row r="147" ht="10.5">
      <c r="L147" s="8"/>
    </row>
    <row r="148" ht="10.5">
      <c r="L148" s="8"/>
    </row>
    <row r="149" ht="10.5">
      <c r="L149" s="8"/>
    </row>
    <row r="150" ht="10.5">
      <c r="L150" s="8"/>
    </row>
    <row r="151" ht="10.5">
      <c r="L151" s="8"/>
    </row>
    <row r="152" ht="10.5">
      <c r="L152" s="8"/>
    </row>
    <row r="153" ht="10.5">
      <c r="L153" s="8"/>
    </row>
    <row r="154" ht="10.5">
      <c r="L154" s="8"/>
    </row>
    <row r="155" ht="10.5">
      <c r="L155" s="8"/>
    </row>
    <row r="156" ht="10.5">
      <c r="L156" s="8"/>
    </row>
    <row r="157" ht="10.5">
      <c r="L157" s="8"/>
    </row>
    <row r="158" ht="10.5">
      <c r="L158" s="8"/>
    </row>
    <row r="159" ht="10.5">
      <c r="L159" s="8"/>
    </row>
    <row r="160" ht="10.5">
      <c r="L160" s="8"/>
    </row>
    <row r="161" ht="10.5">
      <c r="L161" s="8"/>
    </row>
    <row r="162" ht="10.5">
      <c r="L162" s="8"/>
    </row>
    <row r="163" ht="10.5">
      <c r="L163" s="8"/>
    </row>
    <row r="164" ht="10.5">
      <c r="L164" s="8"/>
    </row>
    <row r="165" ht="10.5">
      <c r="L165" s="8"/>
    </row>
    <row r="166" ht="10.5">
      <c r="L166" s="8"/>
    </row>
    <row r="167" ht="10.5">
      <c r="L167" s="8"/>
    </row>
    <row r="168" ht="10.5">
      <c r="L168" s="8"/>
    </row>
    <row r="169" ht="10.5">
      <c r="L169" s="8"/>
    </row>
    <row r="170" ht="10.5">
      <c r="L170" s="8"/>
    </row>
    <row r="171" ht="10.5">
      <c r="L171" s="8"/>
    </row>
    <row r="172" ht="10.5">
      <c r="L172" s="8"/>
    </row>
    <row r="173" ht="10.5">
      <c r="L173" s="8"/>
    </row>
    <row r="174" ht="10.5">
      <c r="L174" s="8"/>
    </row>
    <row r="175" ht="10.5">
      <c r="L175" s="8"/>
    </row>
    <row r="176" ht="10.5">
      <c r="L176" s="8"/>
    </row>
    <row r="177" ht="10.5">
      <c r="L177" s="8"/>
    </row>
    <row r="178" ht="10.5">
      <c r="L178" s="8"/>
    </row>
    <row r="179" ht="10.5">
      <c r="L179" s="8"/>
    </row>
    <row r="180" ht="10.5">
      <c r="L180" s="8"/>
    </row>
    <row r="181" ht="10.5">
      <c r="L181" s="8"/>
    </row>
    <row r="182" ht="10.5">
      <c r="L182" s="8"/>
    </row>
    <row r="183" ht="10.5">
      <c r="L183" s="8"/>
    </row>
    <row r="184" ht="10.5">
      <c r="L184" s="8"/>
    </row>
    <row r="185" ht="10.5">
      <c r="L185" s="8"/>
    </row>
    <row r="186" ht="10.5">
      <c r="L186" s="8"/>
    </row>
    <row r="187" ht="10.5">
      <c r="L187" s="8"/>
    </row>
    <row r="188" ht="10.5">
      <c r="L188" s="8"/>
    </row>
    <row r="189" ht="10.5">
      <c r="L189" s="8"/>
    </row>
    <row r="190" ht="10.5">
      <c r="L190" s="8"/>
    </row>
    <row r="191" ht="10.5">
      <c r="L191" s="8"/>
    </row>
    <row r="192" ht="10.5">
      <c r="L192" s="8"/>
    </row>
    <row r="193" ht="10.5">
      <c r="L193" s="8"/>
    </row>
    <row r="194" ht="10.5">
      <c r="L194" s="8"/>
    </row>
    <row r="195" ht="10.5">
      <c r="L195" s="8"/>
    </row>
    <row r="196" ht="10.5">
      <c r="L196" s="8"/>
    </row>
    <row r="197" ht="10.5">
      <c r="L197" s="8"/>
    </row>
    <row r="198" ht="10.5">
      <c r="L198" s="8"/>
    </row>
    <row r="199" ht="10.5">
      <c r="L199" s="8"/>
    </row>
    <row r="200" ht="10.5">
      <c r="L200" s="8"/>
    </row>
    <row r="201" ht="10.5">
      <c r="L201" s="8"/>
    </row>
    <row r="202" ht="10.5">
      <c r="L202" s="8"/>
    </row>
    <row r="203" ht="10.5">
      <c r="L203" s="8"/>
    </row>
    <row r="204" ht="10.5">
      <c r="L204" s="8"/>
    </row>
    <row r="205" ht="10.5">
      <c r="L205" s="8"/>
    </row>
    <row r="206" ht="10.5">
      <c r="L206" s="8"/>
    </row>
    <row r="207" ht="10.5">
      <c r="L207" s="8"/>
    </row>
    <row r="208" ht="10.5">
      <c r="L208" s="8"/>
    </row>
    <row r="209" ht="10.5">
      <c r="L209" s="8"/>
    </row>
    <row r="210" ht="10.5">
      <c r="L210" s="8"/>
    </row>
    <row r="211" ht="10.5">
      <c r="L211" s="8"/>
    </row>
    <row r="212" ht="10.5">
      <c r="L212" s="8"/>
    </row>
    <row r="213" ht="10.5">
      <c r="L213" s="8"/>
    </row>
    <row r="214" ht="10.5">
      <c r="L214" s="8"/>
    </row>
    <row r="215" ht="10.5">
      <c r="L215" s="8"/>
    </row>
    <row r="216" ht="10.5">
      <c r="L216" s="8"/>
    </row>
    <row r="217" ht="10.5">
      <c r="L217" s="8"/>
    </row>
    <row r="218" ht="10.5">
      <c r="L218" s="8"/>
    </row>
    <row r="219" ht="10.5">
      <c r="L219" s="8"/>
    </row>
    <row r="220" ht="10.5">
      <c r="L220" s="8"/>
    </row>
    <row r="221" ht="10.5">
      <c r="L221" s="8"/>
    </row>
    <row r="222" ht="10.5">
      <c r="L222" s="8"/>
    </row>
    <row r="223" ht="10.5">
      <c r="L223" s="8"/>
    </row>
    <row r="224" ht="10.5">
      <c r="L224" s="8"/>
    </row>
    <row r="225" ht="10.5">
      <c r="L225" s="8"/>
    </row>
    <row r="226" ht="10.5">
      <c r="L226" s="8"/>
    </row>
    <row r="227" ht="10.5">
      <c r="L227" s="8"/>
    </row>
    <row r="228" ht="10.5">
      <c r="L228" s="8"/>
    </row>
    <row r="229" ht="10.5">
      <c r="L229" s="8"/>
    </row>
    <row r="230" ht="10.5">
      <c r="L230" s="8"/>
    </row>
    <row r="231" ht="10.5">
      <c r="L231" s="8"/>
    </row>
    <row r="232" ht="10.5">
      <c r="L232" s="8"/>
    </row>
    <row r="233" ht="10.5">
      <c r="L233" s="8"/>
    </row>
    <row r="234" ht="10.5">
      <c r="L234" s="8"/>
    </row>
    <row r="235" ht="10.5">
      <c r="L235" s="8"/>
    </row>
    <row r="236" ht="10.5">
      <c r="L236" s="8"/>
    </row>
    <row r="237" ht="10.5">
      <c r="L237" s="8"/>
    </row>
    <row r="238" ht="10.5">
      <c r="L238" s="8"/>
    </row>
    <row r="239" ht="10.5">
      <c r="L239" s="8"/>
    </row>
    <row r="240" ht="10.5">
      <c r="L240" s="8"/>
    </row>
    <row r="241" ht="10.5">
      <c r="L241" s="8"/>
    </row>
    <row r="242" ht="10.5">
      <c r="L242" s="8"/>
    </row>
    <row r="243" ht="10.5">
      <c r="L243" s="8"/>
    </row>
    <row r="244" ht="10.5">
      <c r="L244" s="8"/>
    </row>
    <row r="245" ht="10.5">
      <c r="L245" s="8"/>
    </row>
    <row r="246" ht="10.5">
      <c r="L246" s="8"/>
    </row>
    <row r="247" ht="10.5">
      <c r="L247" s="8"/>
    </row>
    <row r="248" ht="10.5">
      <c r="L248" s="8"/>
    </row>
    <row r="249" ht="10.5">
      <c r="L249" s="8"/>
    </row>
    <row r="250" ht="10.5">
      <c r="L250" s="8"/>
    </row>
    <row r="251" ht="10.5">
      <c r="L251" s="8"/>
    </row>
    <row r="252" ht="10.5">
      <c r="L252" s="8"/>
    </row>
    <row r="253" ht="10.5">
      <c r="L253" s="8"/>
    </row>
    <row r="254" ht="10.5">
      <c r="L254" s="8"/>
    </row>
    <row r="255" ht="10.5">
      <c r="L255" s="8"/>
    </row>
    <row r="256" ht="10.5">
      <c r="L256" s="8"/>
    </row>
    <row r="257" ht="10.5">
      <c r="L257" s="8"/>
    </row>
    <row r="258" ht="10.5">
      <c r="L258" s="8"/>
    </row>
    <row r="259" ht="10.5">
      <c r="L259" s="8"/>
    </row>
    <row r="260" ht="10.5">
      <c r="L260" s="8"/>
    </row>
    <row r="261" ht="10.5">
      <c r="L261" s="8"/>
    </row>
    <row r="262" ht="10.5">
      <c r="L262" s="8"/>
    </row>
    <row r="263" ht="10.5">
      <c r="L263" s="8"/>
    </row>
    <row r="264" ht="10.5">
      <c r="L264" s="8"/>
    </row>
    <row r="265" ht="10.5">
      <c r="L265" s="8"/>
    </row>
    <row r="266" ht="10.5">
      <c r="L266" s="8"/>
    </row>
    <row r="267" ht="10.5">
      <c r="L267" s="8"/>
    </row>
    <row r="268" ht="10.5">
      <c r="L268" s="8"/>
    </row>
    <row r="269" ht="10.5">
      <c r="L269" s="8"/>
    </row>
    <row r="270" ht="10.5">
      <c r="L270" s="8"/>
    </row>
    <row r="271" ht="10.5">
      <c r="L271" s="8"/>
    </row>
    <row r="272" ht="10.5">
      <c r="L272" s="8"/>
    </row>
    <row r="273" ht="10.5">
      <c r="L273" s="8"/>
    </row>
    <row r="274" ht="10.5">
      <c r="L274" s="8"/>
    </row>
    <row r="275" ht="10.5">
      <c r="L275" s="8"/>
    </row>
    <row r="276" ht="10.5">
      <c r="L276" s="8"/>
    </row>
    <row r="277" ht="10.5">
      <c r="L277" s="8"/>
    </row>
    <row r="278" ht="10.5">
      <c r="L278" s="8"/>
    </row>
    <row r="279" ht="10.5">
      <c r="L279" s="8"/>
    </row>
    <row r="280" ht="10.5">
      <c r="L280" s="8"/>
    </row>
    <row r="281" ht="10.5">
      <c r="L281" s="8"/>
    </row>
    <row r="282" ht="10.5">
      <c r="L282" s="8"/>
    </row>
    <row r="283" ht="10.5">
      <c r="L283" s="8"/>
    </row>
    <row r="284" ht="10.5">
      <c r="L284" s="8"/>
    </row>
    <row r="285" ht="10.5">
      <c r="L285" s="8"/>
    </row>
    <row r="286" ht="10.5">
      <c r="L286" s="8"/>
    </row>
    <row r="287" ht="10.5">
      <c r="L287" s="8"/>
    </row>
    <row r="288" ht="10.5">
      <c r="L288" s="8"/>
    </row>
    <row r="289" ht="10.5">
      <c r="L289" s="8"/>
    </row>
    <row r="290" ht="10.5">
      <c r="L290" s="8"/>
    </row>
    <row r="291" ht="10.5">
      <c r="L291" s="8"/>
    </row>
    <row r="292" ht="10.5">
      <c r="L292" s="8"/>
    </row>
    <row r="293" ht="10.5">
      <c r="L293" s="8"/>
    </row>
    <row r="294" ht="10.5">
      <c r="L294" s="8"/>
    </row>
    <row r="295" ht="10.5">
      <c r="L295" s="8"/>
    </row>
    <row r="296" ht="10.5">
      <c r="L296" s="8"/>
    </row>
    <row r="297" ht="10.5">
      <c r="L297" s="8"/>
    </row>
    <row r="298" ht="10.5">
      <c r="L298" s="8"/>
    </row>
    <row r="299" ht="10.5">
      <c r="L299" s="8"/>
    </row>
    <row r="300" ht="10.5">
      <c r="L300" s="8"/>
    </row>
    <row r="301" ht="10.5">
      <c r="L301" s="8"/>
    </row>
    <row r="302" ht="10.5">
      <c r="L302" s="8"/>
    </row>
    <row r="303" ht="10.5">
      <c r="L303" s="8"/>
    </row>
    <row r="304" ht="10.5">
      <c r="L304" s="8"/>
    </row>
    <row r="305" ht="10.5">
      <c r="L305" s="8"/>
    </row>
    <row r="306" ht="10.5">
      <c r="L306" s="8"/>
    </row>
    <row r="307" ht="10.5">
      <c r="L307" s="8"/>
    </row>
    <row r="308" ht="10.5">
      <c r="L308" s="8"/>
    </row>
    <row r="309" ht="10.5">
      <c r="L309" s="8"/>
    </row>
    <row r="310" ht="10.5">
      <c r="L310" s="8"/>
    </row>
    <row r="311" ht="10.5">
      <c r="L311" s="8"/>
    </row>
    <row r="312" ht="10.5">
      <c r="L312" s="8"/>
    </row>
    <row r="313" ht="10.5">
      <c r="L313" s="8"/>
    </row>
    <row r="314" ht="10.5">
      <c r="L314" s="8"/>
    </row>
    <row r="315" ht="10.5">
      <c r="L315" s="8"/>
    </row>
    <row r="316" ht="10.5">
      <c r="L316" s="8"/>
    </row>
    <row r="317" ht="10.5">
      <c r="L317" s="8"/>
    </row>
    <row r="318" ht="10.5">
      <c r="L318" s="8"/>
    </row>
    <row r="319" ht="10.5">
      <c r="L319" s="8"/>
    </row>
    <row r="320" ht="10.5">
      <c r="L320" s="8"/>
    </row>
    <row r="321" ht="10.5">
      <c r="L321" s="8"/>
    </row>
    <row r="322" ht="10.5">
      <c r="L322" s="8"/>
    </row>
    <row r="323" ht="10.5">
      <c r="L323" s="8"/>
    </row>
    <row r="324" ht="10.5">
      <c r="L324" s="8"/>
    </row>
    <row r="325" ht="10.5">
      <c r="L325" s="8"/>
    </row>
    <row r="326" ht="10.5">
      <c r="L326" s="8"/>
    </row>
    <row r="327" ht="10.5">
      <c r="L327" s="8"/>
    </row>
    <row r="328" ht="10.5">
      <c r="L328" s="8"/>
    </row>
    <row r="329" ht="10.5">
      <c r="L329" s="8"/>
    </row>
    <row r="330" ht="10.5">
      <c r="L330" s="8"/>
    </row>
    <row r="331" ht="10.5">
      <c r="L331" s="8"/>
    </row>
    <row r="332" ht="10.5">
      <c r="L332" s="8"/>
    </row>
    <row r="333" ht="10.5">
      <c r="L333" s="8"/>
    </row>
    <row r="334" ht="10.5">
      <c r="L334" s="8"/>
    </row>
    <row r="335" ht="10.5">
      <c r="L335" s="8"/>
    </row>
    <row r="336" ht="10.5">
      <c r="L336" s="8"/>
    </row>
    <row r="337" ht="10.5">
      <c r="L337" s="8"/>
    </row>
    <row r="338" ht="10.5">
      <c r="L338" s="8"/>
    </row>
    <row r="339" ht="10.5">
      <c r="L339" s="8"/>
    </row>
    <row r="340" ht="10.5">
      <c r="L340" s="8"/>
    </row>
    <row r="341" ht="10.5">
      <c r="L341" s="8"/>
    </row>
    <row r="342" ht="10.5">
      <c r="L342" s="8"/>
    </row>
    <row r="343" ht="10.5">
      <c r="L343" s="8"/>
    </row>
    <row r="344" ht="10.5">
      <c r="L344" s="8"/>
    </row>
    <row r="345" ht="10.5">
      <c r="L345" s="8"/>
    </row>
    <row r="346" ht="10.5">
      <c r="L346" s="8"/>
    </row>
    <row r="347" ht="10.5">
      <c r="L347" s="8"/>
    </row>
    <row r="348" ht="10.5">
      <c r="L348" s="8"/>
    </row>
    <row r="349" ht="10.5">
      <c r="L349" s="8"/>
    </row>
    <row r="350" ht="10.5">
      <c r="L350" s="8"/>
    </row>
    <row r="351" ht="10.5">
      <c r="L351" s="8"/>
    </row>
    <row r="352" ht="10.5">
      <c r="L352" s="8"/>
    </row>
    <row r="353" ht="10.5">
      <c r="L353" s="8"/>
    </row>
    <row r="354" ht="10.5">
      <c r="L354" s="8"/>
    </row>
    <row r="355" ht="10.5">
      <c r="L355" s="8"/>
    </row>
    <row r="356" ht="10.5">
      <c r="L356" s="8"/>
    </row>
    <row r="357" ht="10.5">
      <c r="L357" s="8"/>
    </row>
    <row r="358" ht="10.5">
      <c r="L358" s="8"/>
    </row>
    <row r="359" ht="10.5">
      <c r="L359" s="8"/>
    </row>
    <row r="360" ht="10.5">
      <c r="L360" s="8"/>
    </row>
    <row r="361" ht="10.5">
      <c r="L361" s="8"/>
    </row>
    <row r="362" ht="10.5">
      <c r="L362" s="8"/>
    </row>
    <row r="363" ht="10.5">
      <c r="L363" s="8"/>
    </row>
    <row r="364" ht="10.5">
      <c r="L364" s="8"/>
    </row>
    <row r="365" ht="10.5">
      <c r="L365" s="8"/>
    </row>
    <row r="366" ht="10.5">
      <c r="L366" s="8"/>
    </row>
    <row r="367" ht="10.5">
      <c r="L367" s="8"/>
    </row>
    <row r="368" ht="10.5">
      <c r="L368" s="8"/>
    </row>
    <row r="369" ht="10.5">
      <c r="L369" s="8"/>
    </row>
    <row r="370" ht="10.5">
      <c r="L370" s="8"/>
    </row>
    <row r="371" ht="10.5">
      <c r="L371" s="8"/>
    </row>
    <row r="372" ht="10.5">
      <c r="L372" s="8"/>
    </row>
    <row r="373" ht="10.5">
      <c r="L373" s="8"/>
    </row>
    <row r="374" ht="10.5">
      <c r="L374" s="8"/>
    </row>
    <row r="375" ht="10.5">
      <c r="L375" s="8"/>
    </row>
    <row r="376" ht="10.5">
      <c r="L376" s="8"/>
    </row>
    <row r="377" ht="10.5">
      <c r="L377" s="8"/>
    </row>
    <row r="378" ht="10.5">
      <c r="L378" s="8"/>
    </row>
    <row r="379" ht="10.5">
      <c r="L379" s="8"/>
    </row>
    <row r="380" ht="10.5">
      <c r="L380" s="8"/>
    </row>
    <row r="381" ht="10.5">
      <c r="L381" s="8"/>
    </row>
    <row r="382" ht="10.5">
      <c r="L382" s="8"/>
    </row>
    <row r="383" ht="10.5">
      <c r="L383" s="8"/>
    </row>
    <row r="384" ht="10.5">
      <c r="L384" s="8"/>
    </row>
    <row r="385" ht="10.5">
      <c r="L385" s="8"/>
    </row>
    <row r="386" ht="10.5">
      <c r="L386" s="8"/>
    </row>
    <row r="387" ht="10.5">
      <c r="L387" s="8"/>
    </row>
    <row r="388" ht="10.5">
      <c r="L388" s="8"/>
    </row>
    <row r="389" ht="10.5">
      <c r="L389" s="8"/>
    </row>
    <row r="390" ht="10.5">
      <c r="L390" s="8"/>
    </row>
    <row r="391" ht="10.5">
      <c r="L391" s="8"/>
    </row>
    <row r="392" ht="10.5">
      <c r="L392" s="8"/>
    </row>
    <row r="393" ht="10.5">
      <c r="L393" s="8"/>
    </row>
    <row r="394" ht="10.5">
      <c r="L394" s="8"/>
    </row>
    <row r="395" ht="10.5">
      <c r="L395" s="8"/>
    </row>
    <row r="396" ht="10.5">
      <c r="L396" s="8"/>
    </row>
    <row r="397" ht="10.5">
      <c r="L397" s="8"/>
    </row>
    <row r="398" ht="10.5">
      <c r="L398" s="8"/>
    </row>
    <row r="399" ht="10.5">
      <c r="L399" s="8"/>
    </row>
    <row r="400" ht="10.5">
      <c r="L400" s="8"/>
    </row>
    <row r="401" ht="10.5">
      <c r="L401" s="8"/>
    </row>
    <row r="402" ht="10.5">
      <c r="L402" s="8"/>
    </row>
    <row r="403" ht="10.5">
      <c r="L403" s="8"/>
    </row>
    <row r="404" ht="10.5">
      <c r="L404" s="8"/>
    </row>
    <row r="405" ht="10.5">
      <c r="L405" s="8"/>
    </row>
    <row r="406" ht="10.5">
      <c r="L406" s="8"/>
    </row>
    <row r="407" ht="10.5">
      <c r="L407" s="8"/>
    </row>
    <row r="408" ht="10.5">
      <c r="L408" s="8"/>
    </row>
    <row r="409" ht="10.5">
      <c r="L409" s="8"/>
    </row>
    <row r="410" ht="10.5">
      <c r="L410" s="8"/>
    </row>
    <row r="411" ht="10.5">
      <c r="L411" s="8"/>
    </row>
    <row r="412" ht="10.5">
      <c r="L412" s="8"/>
    </row>
    <row r="413" ht="10.5">
      <c r="L413" s="8"/>
    </row>
    <row r="414" ht="10.5">
      <c r="L414" s="8"/>
    </row>
    <row r="415" ht="10.5">
      <c r="L415" s="8"/>
    </row>
    <row r="416" ht="10.5">
      <c r="L416" s="8"/>
    </row>
    <row r="417" ht="10.5">
      <c r="L417" s="8"/>
    </row>
    <row r="418" ht="10.5">
      <c r="L418" s="8"/>
    </row>
    <row r="419" ht="10.5">
      <c r="L419" s="8"/>
    </row>
    <row r="420" ht="10.5">
      <c r="L420" s="8"/>
    </row>
    <row r="421" ht="10.5">
      <c r="L421" s="8"/>
    </row>
    <row r="422" ht="10.5">
      <c r="L422" s="8"/>
    </row>
    <row r="423" ht="10.5">
      <c r="L423" s="8"/>
    </row>
    <row r="424" ht="10.5">
      <c r="L424" s="8"/>
    </row>
    <row r="425" ht="10.5">
      <c r="L425" s="8"/>
    </row>
    <row r="426" ht="10.5">
      <c r="L426" s="8"/>
    </row>
    <row r="427" ht="10.5">
      <c r="L427" s="8"/>
    </row>
    <row r="428" ht="10.5">
      <c r="L428" s="8"/>
    </row>
    <row r="429" ht="10.5">
      <c r="L429" s="8"/>
    </row>
    <row r="430" ht="10.5">
      <c r="L430" s="8"/>
    </row>
    <row r="431" ht="10.5">
      <c r="L431" s="8"/>
    </row>
    <row r="432" ht="10.5">
      <c r="L432" s="8"/>
    </row>
    <row r="433" ht="10.5">
      <c r="L433" s="8"/>
    </row>
    <row r="434" ht="10.5">
      <c r="L434" s="8"/>
    </row>
    <row r="435" ht="10.5">
      <c r="L435" s="8"/>
    </row>
    <row r="436" ht="10.5">
      <c r="L436" s="8"/>
    </row>
    <row r="437" ht="10.5">
      <c r="L437" s="8"/>
    </row>
    <row r="438" ht="10.5">
      <c r="L438" s="8"/>
    </row>
    <row r="439" ht="10.5">
      <c r="L439" s="8"/>
    </row>
    <row r="440" ht="10.5">
      <c r="L440" s="8"/>
    </row>
    <row r="441" ht="10.5">
      <c r="L441" s="8"/>
    </row>
    <row r="442" ht="10.5">
      <c r="L442" s="8"/>
    </row>
    <row r="443" ht="10.5">
      <c r="L443" s="8"/>
    </row>
    <row r="444" ht="10.5">
      <c r="L444" s="8"/>
    </row>
    <row r="445" ht="10.5">
      <c r="L445" s="8"/>
    </row>
    <row r="446" ht="10.5">
      <c r="L446" s="8"/>
    </row>
    <row r="447" ht="10.5">
      <c r="L447" s="8"/>
    </row>
    <row r="448" ht="10.5">
      <c r="L448" s="8"/>
    </row>
    <row r="449" ht="10.5">
      <c r="L449" s="8"/>
    </row>
    <row r="450" ht="10.5">
      <c r="L450" s="8"/>
    </row>
    <row r="451" ht="10.5">
      <c r="L451" s="8"/>
    </row>
    <row r="452" ht="10.5">
      <c r="L452" s="8"/>
    </row>
    <row r="453" ht="10.5">
      <c r="L453" s="8"/>
    </row>
    <row r="454" ht="10.5">
      <c r="L454" s="8"/>
    </row>
    <row r="455" ht="10.5">
      <c r="L455" s="8"/>
    </row>
    <row r="456" ht="10.5">
      <c r="L456" s="8"/>
    </row>
    <row r="457" ht="10.5">
      <c r="L457" s="8"/>
    </row>
    <row r="458" ht="10.5">
      <c r="L458" s="8"/>
    </row>
    <row r="459" ht="10.5">
      <c r="L459" s="8"/>
    </row>
    <row r="460" ht="10.5">
      <c r="L460" s="8"/>
    </row>
    <row r="461" ht="10.5">
      <c r="L461" s="8"/>
    </row>
    <row r="462" ht="10.5">
      <c r="L462" s="8"/>
    </row>
    <row r="463" ht="10.5">
      <c r="L463" s="8"/>
    </row>
    <row r="464" ht="10.5">
      <c r="L464" s="8"/>
    </row>
    <row r="465" ht="10.5">
      <c r="L465" s="8"/>
    </row>
    <row r="466" ht="10.5">
      <c r="L466" s="8"/>
    </row>
    <row r="467" ht="10.5">
      <c r="L467" s="8"/>
    </row>
    <row r="468" ht="10.5">
      <c r="L468" s="8"/>
    </row>
    <row r="469" ht="10.5">
      <c r="L469" s="8"/>
    </row>
    <row r="470" ht="10.5">
      <c r="L470" s="8"/>
    </row>
    <row r="471" ht="10.5">
      <c r="L471" s="8"/>
    </row>
    <row r="472" ht="10.5">
      <c r="L472" s="8"/>
    </row>
    <row r="473" ht="10.5">
      <c r="L473" s="8"/>
    </row>
    <row r="474" ht="10.5">
      <c r="L474" s="8"/>
    </row>
    <row r="475" ht="10.5">
      <c r="L475" s="8"/>
    </row>
    <row r="476" ht="10.5">
      <c r="L476" s="8"/>
    </row>
    <row r="477" ht="10.5">
      <c r="L477" s="8"/>
    </row>
    <row r="478" ht="10.5">
      <c r="L478" s="8"/>
    </row>
    <row r="479" ht="10.5">
      <c r="L479" s="8"/>
    </row>
    <row r="480" ht="10.5">
      <c r="L480" s="8"/>
    </row>
    <row r="481" ht="10.5">
      <c r="L481" s="8"/>
    </row>
    <row r="482" ht="10.5">
      <c r="L482" s="8"/>
    </row>
    <row r="483" ht="10.5">
      <c r="L483" s="8"/>
    </row>
    <row r="484" ht="10.5">
      <c r="L484" s="8"/>
    </row>
    <row r="485" ht="10.5">
      <c r="L485" s="8"/>
    </row>
    <row r="486" ht="10.5">
      <c r="L486" s="8"/>
    </row>
    <row r="487" ht="10.5">
      <c r="L487" s="8"/>
    </row>
    <row r="488" ht="10.5">
      <c r="L488" s="8"/>
    </row>
    <row r="489" ht="10.5">
      <c r="L489" s="8"/>
    </row>
    <row r="490" ht="10.5">
      <c r="L490" s="8"/>
    </row>
    <row r="491" ht="10.5">
      <c r="L491" s="8"/>
    </row>
    <row r="492" ht="10.5">
      <c r="L492" s="8"/>
    </row>
    <row r="493" ht="10.5">
      <c r="L493" s="8"/>
    </row>
    <row r="494" ht="10.5">
      <c r="L494" s="8"/>
    </row>
    <row r="495" ht="10.5">
      <c r="L495" s="8"/>
    </row>
    <row r="496" ht="10.5">
      <c r="L496" s="8"/>
    </row>
    <row r="497" ht="10.5">
      <c r="L497" s="8"/>
    </row>
    <row r="498" ht="10.5">
      <c r="L498" s="8"/>
    </row>
    <row r="499" ht="10.5">
      <c r="L499" s="8"/>
    </row>
    <row r="500" ht="10.5">
      <c r="L500" s="8"/>
    </row>
    <row r="501" ht="10.5">
      <c r="L501" s="8"/>
    </row>
    <row r="502" ht="10.5">
      <c r="L502" s="8"/>
    </row>
    <row r="503" ht="10.5">
      <c r="L503" s="8"/>
    </row>
    <row r="504" ht="10.5">
      <c r="L504" s="8"/>
    </row>
    <row r="505" ht="10.5">
      <c r="L505" s="8"/>
    </row>
    <row r="506" ht="10.5">
      <c r="L506" s="8"/>
    </row>
    <row r="507" ht="10.5">
      <c r="L507" s="8"/>
    </row>
    <row r="508" ht="10.5">
      <c r="L508" s="8"/>
    </row>
    <row r="509" ht="10.5">
      <c r="L509" s="8"/>
    </row>
    <row r="510" ht="10.5">
      <c r="L510" s="8"/>
    </row>
    <row r="511" ht="10.5">
      <c r="L511" s="8"/>
    </row>
    <row r="512" ht="10.5">
      <c r="L512" s="8"/>
    </row>
    <row r="513" ht="10.5">
      <c r="L513" s="8"/>
    </row>
    <row r="514" ht="10.5">
      <c r="L514" s="8"/>
    </row>
    <row r="515" ht="10.5">
      <c r="L515" s="8"/>
    </row>
    <row r="516" ht="10.5">
      <c r="L516" s="8"/>
    </row>
    <row r="517" ht="10.5">
      <c r="L517" s="8"/>
    </row>
    <row r="518" ht="10.5">
      <c r="L518" s="8"/>
    </row>
    <row r="519" ht="10.5">
      <c r="L519" s="8"/>
    </row>
    <row r="520" ht="10.5">
      <c r="L520" s="8"/>
    </row>
    <row r="521" ht="10.5">
      <c r="L521" s="8"/>
    </row>
    <row r="522" ht="10.5">
      <c r="L522" s="8"/>
    </row>
    <row r="523" ht="10.5">
      <c r="L523" s="8"/>
    </row>
    <row r="524" ht="10.5">
      <c r="L524" s="8"/>
    </row>
    <row r="525" ht="10.5">
      <c r="L525" s="8"/>
    </row>
    <row r="526" ht="10.5">
      <c r="L526" s="8"/>
    </row>
    <row r="527" ht="10.5">
      <c r="L527" s="8"/>
    </row>
    <row r="528" ht="10.5">
      <c r="L528" s="8"/>
    </row>
    <row r="529" ht="10.5">
      <c r="L529" s="8"/>
    </row>
    <row r="530" ht="10.5">
      <c r="L530" s="8"/>
    </row>
    <row r="531" ht="10.5">
      <c r="L531" s="8"/>
    </row>
    <row r="532" ht="10.5">
      <c r="L532" s="8"/>
    </row>
    <row r="533" ht="10.5">
      <c r="L533" s="8"/>
    </row>
    <row r="534" ht="10.5">
      <c r="L534" s="8"/>
    </row>
    <row r="535" ht="10.5">
      <c r="L535" s="8"/>
    </row>
    <row r="536" ht="10.5">
      <c r="L536" s="8"/>
    </row>
    <row r="537" ht="10.5">
      <c r="L537" s="8"/>
    </row>
    <row r="538" ht="10.5">
      <c r="L538" s="8"/>
    </row>
    <row r="539" ht="10.5">
      <c r="L539" s="8"/>
    </row>
    <row r="540" ht="10.5">
      <c r="L540" s="8"/>
    </row>
    <row r="541" ht="10.5">
      <c r="L541" s="8"/>
    </row>
    <row r="542" ht="10.5">
      <c r="L542" s="8"/>
    </row>
    <row r="543" ht="10.5">
      <c r="L543" s="8"/>
    </row>
    <row r="544" ht="10.5">
      <c r="L544" s="8"/>
    </row>
    <row r="545" ht="10.5">
      <c r="L545" s="8"/>
    </row>
    <row r="546" ht="10.5">
      <c r="L546" s="8"/>
    </row>
    <row r="547" ht="10.5">
      <c r="L547" s="8"/>
    </row>
    <row r="548" ht="10.5">
      <c r="L548" s="8"/>
    </row>
    <row r="549" ht="10.5">
      <c r="L549" s="8"/>
    </row>
    <row r="550" ht="10.5">
      <c r="L550" s="8"/>
    </row>
    <row r="551" ht="10.5">
      <c r="L551" s="8"/>
    </row>
    <row r="552" ht="10.5">
      <c r="L552" s="8"/>
    </row>
    <row r="553" ht="10.5">
      <c r="L553" s="8"/>
    </row>
    <row r="554" ht="10.5">
      <c r="L554" s="8"/>
    </row>
    <row r="555" ht="10.5">
      <c r="L555" s="8"/>
    </row>
    <row r="556" ht="10.5">
      <c r="L556" s="8"/>
    </row>
    <row r="557" ht="10.5">
      <c r="L557" s="8"/>
    </row>
    <row r="558" ht="10.5">
      <c r="L558" s="8"/>
    </row>
    <row r="559" ht="10.5">
      <c r="L559" s="8"/>
    </row>
    <row r="560" ht="10.5">
      <c r="L560" s="8"/>
    </row>
    <row r="561" ht="10.5">
      <c r="L561" s="8"/>
    </row>
    <row r="562" ht="10.5">
      <c r="L562" s="8"/>
    </row>
    <row r="563" ht="10.5">
      <c r="L563" s="8"/>
    </row>
    <row r="564" ht="10.5">
      <c r="L564" s="8"/>
    </row>
    <row r="565" ht="10.5">
      <c r="L565" s="8"/>
    </row>
    <row r="566" ht="10.5">
      <c r="L566" s="8"/>
    </row>
    <row r="567" ht="10.5">
      <c r="L567" s="8"/>
    </row>
    <row r="568" ht="10.5">
      <c r="L568" s="8"/>
    </row>
    <row r="569" ht="10.5">
      <c r="L569" s="8"/>
    </row>
    <row r="570" ht="10.5">
      <c r="L570" s="8"/>
    </row>
    <row r="571" ht="10.5">
      <c r="L571" s="8"/>
    </row>
    <row r="572" ht="10.5">
      <c r="L572" s="8"/>
    </row>
    <row r="573" ht="10.5">
      <c r="L573" s="8"/>
    </row>
    <row r="574" ht="10.5">
      <c r="L574" s="8"/>
    </row>
    <row r="575" ht="10.5">
      <c r="L575" s="8"/>
    </row>
    <row r="576" ht="10.5">
      <c r="L576" s="8"/>
    </row>
    <row r="577" ht="10.5">
      <c r="L577" s="8"/>
    </row>
    <row r="578" ht="10.5">
      <c r="L578" s="8"/>
    </row>
    <row r="579" ht="10.5">
      <c r="L579" s="8"/>
    </row>
    <row r="580" ht="10.5">
      <c r="L580" s="8"/>
    </row>
    <row r="581" ht="10.5">
      <c r="L581" s="8"/>
    </row>
    <row r="582" ht="10.5">
      <c r="L582" s="8"/>
    </row>
    <row r="583" ht="10.5">
      <c r="L583" s="8"/>
    </row>
    <row r="584" ht="10.5">
      <c r="L584" s="8"/>
    </row>
    <row r="585" ht="10.5">
      <c r="L585" s="8"/>
    </row>
    <row r="586" ht="10.5">
      <c r="L586" s="8"/>
    </row>
    <row r="587" ht="10.5">
      <c r="L587" s="8"/>
    </row>
    <row r="588" ht="10.5">
      <c r="L588" s="8"/>
    </row>
    <row r="589" ht="10.5">
      <c r="L589" s="8"/>
    </row>
    <row r="590" ht="10.5">
      <c r="L590" s="8"/>
    </row>
    <row r="591" ht="10.5">
      <c r="L591" s="8"/>
    </row>
    <row r="592" ht="10.5">
      <c r="L592" s="8"/>
    </row>
    <row r="593" ht="10.5">
      <c r="L593" s="8"/>
    </row>
    <row r="594" ht="10.5">
      <c r="L594" s="8"/>
    </row>
    <row r="595" ht="10.5">
      <c r="L595" s="8"/>
    </row>
    <row r="596" ht="10.5">
      <c r="L596" s="8"/>
    </row>
    <row r="597" ht="10.5">
      <c r="L597" s="8"/>
    </row>
    <row r="598" ht="10.5">
      <c r="L598" s="8"/>
    </row>
    <row r="599" ht="10.5">
      <c r="L599" s="8"/>
    </row>
    <row r="600" ht="10.5">
      <c r="L600" s="8"/>
    </row>
    <row r="601" ht="10.5">
      <c r="L601" s="8"/>
    </row>
    <row r="602" ht="10.5">
      <c r="L602" s="8"/>
    </row>
    <row r="603" ht="10.5">
      <c r="L603" s="8"/>
    </row>
    <row r="604" ht="10.5">
      <c r="L604" s="8"/>
    </row>
    <row r="605" ht="10.5">
      <c r="L605" s="8"/>
    </row>
    <row r="606" ht="10.5">
      <c r="L606" s="8"/>
    </row>
  </sheetData>
  <printOptions/>
  <pageMargins left="0.7" right="0.7" top="0.32" bottom="0.32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5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17.8515625" style="73" customWidth="1"/>
    <col min="2" max="2" width="15.57421875" style="73" customWidth="1"/>
    <col min="3" max="3" width="9.00390625" style="73" customWidth="1"/>
    <col min="4" max="4" width="1.7109375" style="73" customWidth="1"/>
    <col min="5" max="8" width="10.7109375" style="98" customWidth="1"/>
    <col min="9" max="9" width="1.7109375" style="98" customWidth="1"/>
    <col min="10" max="10" width="9.7109375" style="100" customWidth="1"/>
    <col min="11" max="11" width="1.7109375" style="98" customWidth="1"/>
    <col min="12" max="12" width="9.7109375" style="98" customWidth="1"/>
    <col min="13" max="13" width="1.7109375" style="98" customWidth="1"/>
    <col min="14" max="14" width="9.7109375" style="98" customWidth="1"/>
    <col min="15" max="34" width="10.7109375" style="73" customWidth="1"/>
    <col min="35" max="16384" width="9.140625" style="73" customWidth="1"/>
  </cols>
  <sheetData>
    <row r="1" spans="1:14" ht="11.25">
      <c r="A1" s="68" t="s">
        <v>127</v>
      </c>
      <c r="B1" s="69"/>
      <c r="C1" s="70"/>
      <c r="D1" s="69"/>
      <c r="E1" s="69"/>
      <c r="F1" s="405" t="str">
        <f>Cover!A11</f>
        <v>男　鹿　ゴ　ル　フ　ク　ラ　ブ</v>
      </c>
      <c r="G1" s="405"/>
      <c r="H1" s="405"/>
      <c r="I1" s="69"/>
      <c r="J1" s="71"/>
      <c r="K1" s="69"/>
      <c r="L1" s="69"/>
      <c r="M1" s="69"/>
      <c r="N1" s="72"/>
    </row>
    <row r="2" spans="1:14" ht="11.25">
      <c r="A2" s="74" t="s">
        <v>56</v>
      </c>
      <c r="B2" s="75">
        <f>Audit!A24</f>
        <v>37580</v>
      </c>
      <c r="C2" s="76"/>
      <c r="D2" s="77"/>
      <c r="E2" s="76"/>
      <c r="F2" s="217"/>
      <c r="G2" s="76"/>
      <c r="H2" s="76"/>
      <c r="I2" s="76"/>
      <c r="J2" s="78"/>
      <c r="K2" s="76"/>
      <c r="L2" s="76"/>
      <c r="M2" s="76"/>
      <c r="N2" s="79"/>
    </row>
    <row r="3" spans="1:14" ht="12" thickBot="1">
      <c r="A3" s="74" t="s">
        <v>128</v>
      </c>
      <c r="B3" s="236" t="str">
        <f>'Soil-G'!F3</f>
        <v>GREENS</v>
      </c>
      <c r="C3" s="76"/>
      <c r="D3" s="77"/>
      <c r="E3" s="217" t="str">
        <f>'Soil-G'!C5</f>
        <v>#4</v>
      </c>
      <c r="F3" s="217" t="str">
        <f>'Soil-G'!D5</f>
        <v>#7</v>
      </c>
      <c r="G3" s="217" t="str">
        <f>'Soil-G'!E5</f>
        <v>#13</v>
      </c>
      <c r="H3" s="217" t="str">
        <f>'Soil-G'!F5</f>
        <v>#14</v>
      </c>
      <c r="I3" s="76"/>
      <c r="J3" s="78"/>
      <c r="K3" s="76"/>
      <c r="L3" s="76"/>
      <c r="M3" s="76"/>
      <c r="N3" s="79"/>
    </row>
    <row r="4" spans="1:14" ht="12.75" customHeight="1">
      <c r="A4" s="237"/>
      <c r="B4" s="238"/>
      <c r="C4" s="239"/>
      <c r="D4" s="238"/>
      <c r="E4" s="239"/>
      <c r="F4" s="239"/>
      <c r="G4" s="239"/>
      <c r="H4" s="239"/>
      <c r="I4" s="239"/>
      <c r="J4" s="255" t="s">
        <v>60</v>
      </c>
      <c r="K4" s="240"/>
      <c r="L4" s="240" t="s">
        <v>61</v>
      </c>
      <c r="M4" s="240"/>
      <c r="N4" s="241"/>
    </row>
    <row r="5" spans="1:14" ht="12.75" customHeight="1">
      <c r="A5" s="242" t="s">
        <v>62</v>
      </c>
      <c r="B5" s="84" t="s">
        <v>63</v>
      </c>
      <c r="C5" s="80"/>
      <c r="D5" s="81"/>
      <c r="E5" s="85" t="str">
        <f>E3</f>
        <v>#4</v>
      </c>
      <c r="F5" s="85" t="str">
        <f>F3</f>
        <v>#7</v>
      </c>
      <c r="G5" s="85" t="str">
        <f>G3</f>
        <v>#13</v>
      </c>
      <c r="H5" s="86" t="str">
        <f>H3</f>
        <v>#14</v>
      </c>
      <c r="I5" s="85"/>
      <c r="J5" s="256" t="s">
        <v>64</v>
      </c>
      <c r="K5" s="87"/>
      <c r="L5" s="87" t="s">
        <v>65</v>
      </c>
      <c r="M5" s="87" t="s">
        <v>1</v>
      </c>
      <c r="N5" s="243" t="s">
        <v>66</v>
      </c>
    </row>
    <row r="6" spans="1:14" ht="12.75" customHeight="1">
      <c r="A6" s="244" t="s">
        <v>67</v>
      </c>
      <c r="B6" s="77" t="s">
        <v>67</v>
      </c>
      <c r="C6" s="80" t="s">
        <v>68</v>
      </c>
      <c r="D6" s="81"/>
      <c r="E6" s="80">
        <f>'Soil-G'!C7</f>
        <v>11.87</v>
      </c>
      <c r="F6" s="80">
        <f>'Soil-G'!D7</f>
        <v>4.27</v>
      </c>
      <c r="G6" s="80">
        <f>'Soil-G'!E7</f>
        <v>10.19</v>
      </c>
      <c r="H6" s="80">
        <f>'Soil-G'!F7</f>
        <v>5.41</v>
      </c>
      <c r="I6" s="80"/>
      <c r="J6" s="257">
        <f>AVERAGE(E6:H6)</f>
        <v>7.935</v>
      </c>
      <c r="K6" s="89"/>
      <c r="L6" s="89">
        <v>10</v>
      </c>
      <c r="M6" s="89"/>
      <c r="N6" s="245">
        <f>(SUM(J6-L6))</f>
        <v>-2.0650000000000004</v>
      </c>
    </row>
    <row r="7" spans="1:14" ht="12.75" customHeight="1">
      <c r="A7" s="244" t="s">
        <v>69</v>
      </c>
      <c r="B7" s="77" t="s">
        <v>27</v>
      </c>
      <c r="C7" s="80" t="s">
        <v>70</v>
      </c>
      <c r="D7" s="81"/>
      <c r="E7" s="80">
        <f>'Soil-G'!C6</f>
        <v>6.9</v>
      </c>
      <c r="F7" s="80">
        <f>'Soil-G'!D6</f>
        <v>7</v>
      </c>
      <c r="G7" s="90">
        <f>'Soil-G'!E6</f>
        <v>6.5</v>
      </c>
      <c r="H7" s="90">
        <f>'Soil-G'!F6</f>
        <v>7</v>
      </c>
      <c r="I7" s="80"/>
      <c r="J7" s="257">
        <f>AVERAGE(E7:H7)</f>
        <v>6.85</v>
      </c>
      <c r="K7" s="89"/>
      <c r="L7" s="89">
        <v>6.5</v>
      </c>
      <c r="M7" s="89"/>
      <c r="N7" s="245">
        <f>(SUM(J7-L7))</f>
        <v>0.34999999999999964</v>
      </c>
    </row>
    <row r="8" spans="1:14" ht="12.75" customHeight="1">
      <c r="A8" s="244" t="s">
        <v>71</v>
      </c>
      <c r="B8" s="77" t="s">
        <v>72</v>
      </c>
      <c r="C8" s="80" t="s">
        <v>73</v>
      </c>
      <c r="D8" s="81"/>
      <c r="E8" s="80">
        <f>'Soil-G'!C8</f>
        <v>1.79</v>
      </c>
      <c r="F8" s="80">
        <f>'Soil-G'!D8</f>
        <v>0.42</v>
      </c>
      <c r="G8" s="80">
        <f>'Soil-G'!E8</f>
        <v>1.27</v>
      </c>
      <c r="H8" s="80">
        <f>'Soil-G'!F8</f>
        <v>0.42</v>
      </c>
      <c r="I8" s="80"/>
      <c r="J8" s="257">
        <f>AVERAGE(E8:H8)</f>
        <v>0.975</v>
      </c>
      <c r="K8" s="89"/>
      <c r="L8" s="89">
        <v>1.5</v>
      </c>
      <c r="M8" s="89"/>
      <c r="N8" s="245">
        <f>(SUM(J8-L8))</f>
        <v>-0.525</v>
      </c>
    </row>
    <row r="9" spans="1:14" ht="12.75" customHeight="1">
      <c r="A9" s="244"/>
      <c r="B9" s="77"/>
      <c r="C9" s="76"/>
      <c r="D9" s="77"/>
      <c r="E9" s="76"/>
      <c r="F9" s="76"/>
      <c r="G9" s="91"/>
      <c r="H9" s="91"/>
      <c r="I9" s="76"/>
      <c r="J9" s="258"/>
      <c r="K9" s="83"/>
      <c r="L9" s="83"/>
      <c r="M9" s="83"/>
      <c r="N9" s="246"/>
    </row>
    <row r="10" spans="1:14" ht="11.25">
      <c r="A10" s="242" t="s">
        <v>74</v>
      </c>
      <c r="B10" s="84" t="s">
        <v>75</v>
      </c>
      <c r="C10" s="76"/>
      <c r="D10" s="77"/>
      <c r="E10" s="76"/>
      <c r="F10" s="76"/>
      <c r="G10" s="91"/>
      <c r="H10" s="91"/>
      <c r="I10" s="76"/>
      <c r="J10" s="258"/>
      <c r="K10" s="83"/>
      <c r="L10" s="83"/>
      <c r="M10" s="83"/>
      <c r="N10" s="246"/>
    </row>
    <row r="11" spans="1:14" ht="11.25">
      <c r="A11" s="244" t="s">
        <v>76</v>
      </c>
      <c r="B11" s="77" t="s">
        <v>77</v>
      </c>
      <c r="C11" s="80" t="s">
        <v>78</v>
      </c>
      <c r="D11" s="81"/>
      <c r="E11" s="82">
        <f>'Soil-G'!C54</f>
        <v>5.831313803580309</v>
      </c>
      <c r="F11" s="82">
        <f>'Soil-G'!D54</f>
        <v>1.7702202618011649</v>
      </c>
      <c r="G11" s="82">
        <f>'Soil-G'!E54</f>
        <v>4.685877163591319</v>
      </c>
      <c r="H11" s="82">
        <f>'Soil-G'!F54</f>
        <v>1.7702202618011649</v>
      </c>
      <c r="I11" s="80"/>
      <c r="J11" s="257">
        <f>AVERAGE(E11:H11)</f>
        <v>3.5144078726934893</v>
      </c>
      <c r="K11" s="89"/>
      <c r="L11" s="88">
        <v>3.15</v>
      </c>
      <c r="M11" s="89"/>
      <c r="N11" s="245">
        <f>(SUM(J11-L11))</f>
        <v>0.3644078726934894</v>
      </c>
    </row>
    <row r="12" spans="1:14" ht="11.25">
      <c r="A12" s="244" t="s">
        <v>79</v>
      </c>
      <c r="B12" s="77" t="s">
        <v>80</v>
      </c>
      <c r="C12" s="80" t="s">
        <v>28</v>
      </c>
      <c r="D12" s="81"/>
      <c r="E12" s="80">
        <f>'Soil-G'!C15</f>
        <v>20</v>
      </c>
      <c r="F12" s="80">
        <f>'Soil-G'!D15</f>
        <v>13</v>
      </c>
      <c r="G12" s="80">
        <f>'Soil-G'!E15</f>
        <v>20</v>
      </c>
      <c r="H12" s="80">
        <f>'Soil-G'!F15</f>
        <v>15</v>
      </c>
      <c r="I12" s="80"/>
      <c r="J12" s="257">
        <f>AVERAGE(E12:H12)</f>
        <v>17</v>
      </c>
      <c r="K12" s="89"/>
      <c r="L12" s="88">
        <v>3.15</v>
      </c>
      <c r="M12" s="89"/>
      <c r="N12" s="245">
        <f>(SUM(J12-L12))</f>
        <v>13.85</v>
      </c>
    </row>
    <row r="13" spans="1:14" ht="11.25">
      <c r="A13" s="244" t="s">
        <v>81</v>
      </c>
      <c r="B13" s="77" t="s">
        <v>82</v>
      </c>
      <c r="C13" s="80" t="s">
        <v>78</v>
      </c>
      <c r="D13" s="81"/>
      <c r="E13" s="82">
        <f>'Soil-G'!C16</f>
        <v>1740</v>
      </c>
      <c r="F13" s="82">
        <f>'Soil-G'!D16</f>
        <v>586</v>
      </c>
      <c r="G13" s="82">
        <f>'Soil-G'!E16</f>
        <v>1150</v>
      </c>
      <c r="H13" s="82">
        <f>'Soil-G'!F16</f>
        <v>637</v>
      </c>
      <c r="I13" s="80"/>
      <c r="J13" s="257">
        <f>AVERAGE(E13:H13)</f>
        <v>1028.25</v>
      </c>
      <c r="K13" s="89"/>
      <c r="L13" s="88">
        <v>31.25</v>
      </c>
      <c r="M13" s="89"/>
      <c r="N13" s="245">
        <f>(SUM(J13-L13))</f>
        <v>997</v>
      </c>
    </row>
    <row r="14" spans="1:14" ht="11.25">
      <c r="A14" s="244" t="s">
        <v>83</v>
      </c>
      <c r="B14" s="77" t="s">
        <v>82</v>
      </c>
      <c r="C14" s="80" t="s">
        <v>78</v>
      </c>
      <c r="D14" s="81"/>
      <c r="E14" s="82">
        <f>'Soil-G'!C17</f>
        <v>760</v>
      </c>
      <c r="F14" s="82">
        <f>'Soil-G'!D17</f>
        <v>531</v>
      </c>
      <c r="G14" s="82">
        <f>'Soil-G'!E17</f>
        <v>682</v>
      </c>
      <c r="H14" s="82">
        <f>'Soil-G'!F17</f>
        <v>623</v>
      </c>
      <c r="I14" s="80"/>
      <c r="J14" s="257">
        <f>AVERAGE(E14:H14)</f>
        <v>649</v>
      </c>
      <c r="K14" s="89"/>
      <c r="L14" s="88">
        <v>36.5</v>
      </c>
      <c r="M14" s="89"/>
      <c r="N14" s="245">
        <f>(SUM(J14-L14))</f>
        <v>612.5</v>
      </c>
    </row>
    <row r="15" spans="1:14" ht="11.25">
      <c r="A15" s="244"/>
      <c r="B15" s="77"/>
      <c r="C15" s="76"/>
      <c r="D15" s="77"/>
      <c r="E15" s="76"/>
      <c r="F15" s="76"/>
      <c r="G15" s="91"/>
      <c r="H15" s="91"/>
      <c r="I15" s="76"/>
      <c r="J15" s="258"/>
      <c r="K15" s="83"/>
      <c r="L15" s="83"/>
      <c r="M15" s="83"/>
      <c r="N15" s="246"/>
    </row>
    <row r="16" spans="1:14" ht="11.25">
      <c r="A16" s="242" t="s">
        <v>84</v>
      </c>
      <c r="B16" s="84" t="s">
        <v>85</v>
      </c>
      <c r="C16" s="76"/>
      <c r="D16" s="77"/>
      <c r="E16" s="76"/>
      <c r="F16" s="76"/>
      <c r="G16" s="91"/>
      <c r="H16" s="91"/>
      <c r="I16" s="76"/>
      <c r="J16" s="258"/>
      <c r="K16" s="83"/>
      <c r="L16" s="83"/>
      <c r="M16" s="83"/>
      <c r="N16" s="246"/>
    </row>
    <row r="17" spans="1:14" ht="11.25">
      <c r="A17" s="244" t="s">
        <v>30</v>
      </c>
      <c r="B17" s="77" t="s">
        <v>31</v>
      </c>
      <c r="C17" s="80" t="s">
        <v>78</v>
      </c>
      <c r="D17" s="81"/>
      <c r="E17" s="82">
        <f>'Soil-G'!C59</f>
        <v>351.753179080255</v>
      </c>
      <c r="F17" s="82">
        <f>'Soil-G'!D59</f>
        <v>116.8345372788769</v>
      </c>
      <c r="G17" s="82">
        <f>'Soil-G'!E59</f>
        <v>282.81871947364493</v>
      </c>
      <c r="H17" s="82">
        <f>'Soil-G'!F59</f>
        <v>160.36112959845846</v>
      </c>
      <c r="I17" s="80"/>
      <c r="J17" s="257">
        <f>AVERAGE(E17:H17)</f>
        <v>227.94189135780883</v>
      </c>
      <c r="K17" s="89"/>
      <c r="L17" s="88">
        <f>'Soil-G'!H59</f>
        <v>224.74716443827592</v>
      </c>
      <c r="M17" s="89"/>
      <c r="N17" s="245">
        <f>(SUM(J17-L17))</f>
        <v>3.1947269195329113</v>
      </c>
    </row>
    <row r="18" spans="1:14" ht="11.25">
      <c r="A18" s="244" t="s">
        <v>33</v>
      </c>
      <c r="B18" s="77" t="s">
        <v>34</v>
      </c>
      <c r="C18" s="80" t="s">
        <v>78</v>
      </c>
      <c r="D18" s="81"/>
      <c r="E18" s="82">
        <f>'Soil-G'!C60</f>
        <v>44.98442077047666</v>
      </c>
      <c r="F18" s="82">
        <f>'Soil-G'!D60</f>
        <v>22.283949177967607</v>
      </c>
      <c r="G18" s="82">
        <f>'Soil-G'!E60</f>
        <v>33.94657678512822</v>
      </c>
      <c r="H18" s="82">
        <f>'Soil-G'!F60</f>
        <v>21.867426763426156</v>
      </c>
      <c r="I18" s="80"/>
      <c r="J18" s="257">
        <f>AVERAGE(E18:H18)</f>
        <v>30.770593374249664</v>
      </c>
      <c r="K18" s="89"/>
      <c r="L18" s="88">
        <f>'Soil-G'!H60</f>
        <v>29.74594823447769</v>
      </c>
      <c r="M18" s="89"/>
      <c r="N18" s="245">
        <f>(SUM(J18-L18))</f>
        <v>1.0246451397719731</v>
      </c>
    </row>
    <row r="19" spans="1:14" ht="11.25">
      <c r="A19" s="244" t="s">
        <v>36</v>
      </c>
      <c r="B19" s="77" t="s">
        <v>37</v>
      </c>
      <c r="C19" s="80" t="s">
        <v>78</v>
      </c>
      <c r="D19" s="81"/>
      <c r="E19" s="82">
        <f>'Soil-G'!C61</f>
        <v>54.356175097659296</v>
      </c>
      <c r="F19" s="82">
        <f>'Soil-G'!D61</f>
        <v>20.617859519801804</v>
      </c>
      <c r="G19" s="82">
        <f>'Soil-G'!E61</f>
        <v>45.400943185018114</v>
      </c>
      <c r="H19" s="82">
        <f>'Soil-G'!F61</f>
        <v>24.36656125067486</v>
      </c>
      <c r="I19" s="80"/>
      <c r="J19" s="257">
        <f>AVERAGE(E19:H19)</f>
        <v>36.18538476328852</v>
      </c>
      <c r="K19" s="89"/>
      <c r="L19" s="88">
        <f>'Soil-G'!H61</f>
        <v>32.224777254017496</v>
      </c>
      <c r="M19" s="89"/>
      <c r="N19" s="245">
        <f>(SUM(J19-L19))</f>
        <v>3.9606075092710213</v>
      </c>
    </row>
    <row r="20" spans="1:14" ht="11.25">
      <c r="A20" s="244" t="s">
        <v>39</v>
      </c>
      <c r="B20" s="77" t="s">
        <v>40</v>
      </c>
      <c r="C20" s="80" t="s">
        <v>78</v>
      </c>
      <c r="D20" s="81"/>
      <c r="E20" s="82">
        <f>'Soil-G'!C62</f>
        <v>11.870888814431343</v>
      </c>
      <c r="F20" s="82">
        <f>'Soil-G'!D62</f>
        <v>6.4560974253924845</v>
      </c>
      <c r="G20" s="82">
        <f>'Soil-G'!E62</f>
        <v>10.413060363536264</v>
      </c>
      <c r="H20" s="82">
        <f>'Soil-G'!F62</f>
        <v>7.0808810472046595</v>
      </c>
      <c r="I20" s="80"/>
      <c r="J20" s="257">
        <f>AVERAGE(E20:H20)</f>
        <v>8.955231912641189</v>
      </c>
      <c r="K20" s="89"/>
      <c r="L20" s="88">
        <f>'Soil-G'!H62</f>
        <v>11.485241123867775</v>
      </c>
      <c r="M20" s="89"/>
      <c r="N20" s="245">
        <f>(SUM(J20-L20))</f>
        <v>-2.530009211226586</v>
      </c>
    </row>
    <row r="21" spans="1:14" ht="11.25">
      <c r="A21" s="244"/>
      <c r="B21" s="77"/>
      <c r="C21" s="76"/>
      <c r="D21" s="77"/>
      <c r="E21" s="76"/>
      <c r="F21" s="76"/>
      <c r="G21" s="91"/>
      <c r="H21" s="76"/>
      <c r="I21" s="76"/>
      <c r="J21" s="258"/>
      <c r="K21" s="83"/>
      <c r="L21" s="83"/>
      <c r="M21" s="83"/>
      <c r="N21" s="246"/>
    </row>
    <row r="22" spans="1:14" ht="11.25">
      <c r="A22" s="242" t="s">
        <v>86</v>
      </c>
      <c r="B22" s="84" t="s">
        <v>87</v>
      </c>
      <c r="C22" s="76"/>
      <c r="D22" s="77"/>
      <c r="E22" s="76"/>
      <c r="F22" s="76"/>
      <c r="G22" s="91"/>
      <c r="H22" s="76"/>
      <c r="I22" s="76"/>
      <c r="J22" s="258"/>
      <c r="K22" s="83"/>
      <c r="L22" s="83"/>
      <c r="M22" s="83"/>
      <c r="N22" s="246"/>
    </row>
    <row r="23" spans="1:14" ht="11.25">
      <c r="A23" s="244" t="s">
        <v>30</v>
      </c>
      <c r="B23" s="77" t="s">
        <v>31</v>
      </c>
      <c r="C23" s="80" t="s">
        <v>73</v>
      </c>
      <c r="D23" s="81"/>
      <c r="E23" s="92">
        <f>'Soil-G'!C32</f>
        <v>0.7114574557708508</v>
      </c>
      <c r="F23" s="92">
        <f>'Soil-G'!D32</f>
        <v>0.6569086651053865</v>
      </c>
      <c r="G23" s="92">
        <f>'Soil-G'!E32</f>
        <v>0.6663395485770363</v>
      </c>
      <c r="H23" s="92">
        <f>'Soil-G'!F32</f>
        <v>0.711645101663586</v>
      </c>
      <c r="I23" s="80"/>
      <c r="J23" s="259">
        <f>AVERAGE(E23:H23)</f>
        <v>0.6865876927792149</v>
      </c>
      <c r="K23" s="93"/>
      <c r="L23" s="93">
        <v>0.68</v>
      </c>
      <c r="M23" s="93"/>
      <c r="N23" s="247">
        <f>(SUM(J23-L23))</f>
        <v>0.006587692779214893</v>
      </c>
    </row>
    <row r="24" spans="1:14" ht="11.25">
      <c r="A24" s="244" t="s">
        <v>33</v>
      </c>
      <c r="B24" s="77" t="s">
        <v>34</v>
      </c>
      <c r="C24" s="94" t="s">
        <v>73</v>
      </c>
      <c r="D24" s="95"/>
      <c r="E24" s="92">
        <f>'Soil-G'!C33</f>
        <v>0.15164279696714408</v>
      </c>
      <c r="F24" s="92">
        <f>'Soil-G'!D33</f>
        <v>0.10441061670569868</v>
      </c>
      <c r="G24" s="92">
        <f>'Soil-G'!E33</f>
        <v>0.06665031076218515</v>
      </c>
      <c r="H24" s="92">
        <f>'Soil-G'!F33</f>
        <v>0.08086876155268022</v>
      </c>
      <c r="I24" s="94"/>
      <c r="J24" s="259">
        <f>AVERAGE(E24:H24)</f>
        <v>0.10089312149692703</v>
      </c>
      <c r="K24" s="96"/>
      <c r="L24" s="96">
        <v>0.15</v>
      </c>
      <c r="M24" s="96"/>
      <c r="N24" s="247">
        <f>(SUM(J24-L24))</f>
        <v>-0.049106878503072965</v>
      </c>
    </row>
    <row r="25" spans="1:14" ht="11.25">
      <c r="A25" s="244" t="s">
        <v>36</v>
      </c>
      <c r="B25" s="77" t="s">
        <v>37</v>
      </c>
      <c r="C25" s="80" t="s">
        <v>73</v>
      </c>
      <c r="D25" s="81"/>
      <c r="E25" s="92">
        <f>'Soil-G'!C34</f>
        <v>0.05638001425701511</v>
      </c>
      <c r="F25" s="92">
        <f>'Soil-G'!D34</f>
        <v>0.05944874797333815</v>
      </c>
      <c r="G25" s="92">
        <f>'Soil-G'!E34</f>
        <v>0.05485518733801364</v>
      </c>
      <c r="H25" s="92">
        <f>'Soil-G'!F34</f>
        <v>0.05545286506469501</v>
      </c>
      <c r="I25" s="80"/>
      <c r="J25" s="259">
        <f>AVERAGE(E25:H25)</f>
        <v>0.05653420365826548</v>
      </c>
      <c r="K25" s="93"/>
      <c r="L25" s="93">
        <v>0.05</v>
      </c>
      <c r="M25" s="93"/>
      <c r="N25" s="247">
        <f>(SUM(J25-L25))</f>
        <v>0.006534203658265479</v>
      </c>
    </row>
    <row r="26" spans="1:14" ht="11.25">
      <c r="A26" s="244" t="s">
        <v>39</v>
      </c>
      <c r="B26" s="77" t="s">
        <v>40</v>
      </c>
      <c r="C26" s="80" t="s">
        <v>73</v>
      </c>
      <c r="D26" s="81"/>
      <c r="E26" s="92">
        <f>'Soil-G'!C35</f>
        <v>0.00690938403447419</v>
      </c>
      <c r="F26" s="92">
        <f>'Soil-G'!D35</f>
        <v>0.010445975772075549</v>
      </c>
      <c r="G26" s="92">
        <f>'Soil-G'!E35</f>
        <v>0.007060102653892588</v>
      </c>
      <c r="H26" s="92">
        <f>'Soil-G'!F35</f>
        <v>0.00904267343980638</v>
      </c>
      <c r="I26" s="80"/>
      <c r="J26" s="259">
        <f>AVERAGE(E26:H26)</f>
        <v>0.008364533975062177</v>
      </c>
      <c r="K26" s="93"/>
      <c r="L26" s="93">
        <v>0.01</v>
      </c>
      <c r="M26" s="93"/>
      <c r="N26" s="247">
        <f>(SUM(J26-L26))</f>
        <v>-0.001635466024937823</v>
      </c>
    </row>
    <row r="27" spans="1:14" ht="11.25">
      <c r="A27" s="244"/>
      <c r="B27" s="77"/>
      <c r="C27" s="76"/>
      <c r="D27" s="77"/>
      <c r="E27" s="76"/>
      <c r="F27" s="76"/>
      <c r="G27" s="91"/>
      <c r="H27" s="76"/>
      <c r="I27" s="76"/>
      <c r="J27" s="258"/>
      <c r="K27" s="83"/>
      <c r="L27" s="83"/>
      <c r="M27" s="83"/>
      <c r="N27" s="246"/>
    </row>
    <row r="28" spans="1:14" ht="11.25">
      <c r="A28" s="242" t="s">
        <v>88</v>
      </c>
      <c r="B28" s="84" t="s">
        <v>89</v>
      </c>
      <c r="C28" s="76"/>
      <c r="D28" s="77"/>
      <c r="E28" s="76"/>
      <c r="F28" s="76"/>
      <c r="G28" s="91"/>
      <c r="H28" s="76"/>
      <c r="I28" s="76"/>
      <c r="J28" s="258"/>
      <c r="K28" s="83"/>
      <c r="L28" s="83"/>
      <c r="M28" s="83"/>
      <c r="N28" s="246"/>
    </row>
    <row r="29" spans="1:14" ht="11.25">
      <c r="A29" s="244" t="s">
        <v>90</v>
      </c>
      <c r="B29" s="77" t="s">
        <v>91</v>
      </c>
      <c r="C29" s="80" t="s">
        <v>28</v>
      </c>
      <c r="D29" s="81"/>
      <c r="E29" s="80">
        <f>'Soil-G'!C38</f>
        <v>0.2</v>
      </c>
      <c r="F29" s="80">
        <f>'Soil-G'!D38</f>
        <v>0.2</v>
      </c>
      <c r="G29" s="80">
        <f>'Soil-G'!E38</f>
        <v>0.2</v>
      </c>
      <c r="H29" s="80">
        <f>'Soil-G'!F38</f>
        <v>0.2</v>
      </c>
      <c r="I29" s="80"/>
      <c r="J29" s="257">
        <f aca="true" t="shared" si="0" ref="J29:J34">AVERAGE(E29:H29)</f>
        <v>0.2</v>
      </c>
      <c r="K29" s="89"/>
      <c r="L29" s="97">
        <v>2</v>
      </c>
      <c r="M29" s="89"/>
      <c r="N29" s="245">
        <f aca="true" t="shared" si="1" ref="N29:N34">(SUM(J29-L29))</f>
        <v>-1.8</v>
      </c>
    </row>
    <row r="30" spans="1:14" ht="11.25">
      <c r="A30" s="244" t="s">
        <v>92</v>
      </c>
      <c r="B30" s="77" t="s">
        <v>42</v>
      </c>
      <c r="C30" s="80" t="s">
        <v>28</v>
      </c>
      <c r="D30" s="81"/>
      <c r="E30" s="80">
        <f>'Soil-G'!C39</f>
        <v>269</v>
      </c>
      <c r="F30" s="80">
        <f>'Soil-G'!D39</f>
        <v>131</v>
      </c>
      <c r="G30" s="80">
        <f>'Soil-G'!E39</f>
        <v>269</v>
      </c>
      <c r="H30" s="80">
        <f>'Soil-G'!F39</f>
        <v>133</v>
      </c>
      <c r="I30" s="80"/>
      <c r="J30" s="257">
        <f t="shared" si="0"/>
        <v>200.5</v>
      </c>
      <c r="K30" s="89"/>
      <c r="L30" s="97">
        <v>250</v>
      </c>
      <c r="M30" s="89"/>
      <c r="N30" s="245">
        <f t="shared" si="1"/>
        <v>-49.5</v>
      </c>
    </row>
    <row r="31" spans="1:14" ht="11.25">
      <c r="A31" s="244" t="s">
        <v>93</v>
      </c>
      <c r="B31" s="77" t="s">
        <v>94</v>
      </c>
      <c r="C31" s="80" t="s">
        <v>28</v>
      </c>
      <c r="D31" s="81"/>
      <c r="E31" s="80">
        <f>'Soil-G'!C40</f>
        <v>53</v>
      </c>
      <c r="F31" s="80">
        <f>'Soil-G'!D40</f>
        <v>26</v>
      </c>
      <c r="G31" s="80">
        <f>'Soil-G'!E40</f>
        <v>37</v>
      </c>
      <c r="H31" s="80">
        <f>'Soil-G'!F40</f>
        <v>29</v>
      </c>
      <c r="I31" s="80"/>
      <c r="J31" s="257">
        <f t="shared" si="0"/>
        <v>36.25</v>
      </c>
      <c r="K31" s="89"/>
      <c r="L31" s="97">
        <v>60</v>
      </c>
      <c r="M31" s="89"/>
      <c r="N31" s="245">
        <f t="shared" si="1"/>
        <v>-23.75</v>
      </c>
    </row>
    <row r="32" spans="1:14" ht="11.25">
      <c r="A32" s="244" t="s">
        <v>95</v>
      </c>
      <c r="B32" s="77" t="s">
        <v>48</v>
      </c>
      <c r="C32" s="80" t="s">
        <v>28</v>
      </c>
      <c r="D32" s="81"/>
      <c r="E32" s="80">
        <f>'Soil-G'!C41</f>
        <v>8.65</v>
      </c>
      <c r="F32" s="80">
        <f>'Soil-G'!D41</f>
        <v>1.44</v>
      </c>
      <c r="G32" s="80">
        <f>'Soil-G'!E41</f>
        <v>5.61</v>
      </c>
      <c r="H32" s="80">
        <f>'Soil-G'!F41</f>
        <v>1.75</v>
      </c>
      <c r="I32" s="80"/>
      <c r="J32" s="257">
        <f t="shared" si="0"/>
        <v>4.3625</v>
      </c>
      <c r="K32" s="89"/>
      <c r="L32" s="97">
        <v>3</v>
      </c>
      <c r="M32" s="89"/>
      <c r="N32" s="245">
        <f t="shared" si="1"/>
        <v>1.3624999999999998</v>
      </c>
    </row>
    <row r="33" spans="1:14" ht="11.25">
      <c r="A33" s="244" t="s">
        <v>96</v>
      </c>
      <c r="B33" s="77" t="s">
        <v>51</v>
      </c>
      <c r="C33" s="80" t="s">
        <v>28</v>
      </c>
      <c r="D33" s="81"/>
      <c r="E33" s="80">
        <f>'Soil-G'!C42</f>
        <v>5.43</v>
      </c>
      <c r="F33" s="80">
        <f>'Soil-G'!D42</f>
        <v>2.61</v>
      </c>
      <c r="G33" s="80">
        <f>'Soil-G'!E42</f>
        <v>3.82</v>
      </c>
      <c r="H33" s="80">
        <f>'Soil-G'!F42</f>
        <v>4.17</v>
      </c>
      <c r="I33" s="80"/>
      <c r="J33" s="257">
        <f t="shared" si="0"/>
        <v>4.0075</v>
      </c>
      <c r="K33" s="89"/>
      <c r="L33" s="97">
        <v>12</v>
      </c>
      <c r="M33" s="89"/>
      <c r="N33" s="245">
        <f t="shared" si="1"/>
        <v>-7.9925</v>
      </c>
    </row>
    <row r="34" spans="1:14" ht="11.25">
      <c r="A34" s="244" t="s">
        <v>97</v>
      </c>
      <c r="B34" s="77" t="s">
        <v>54</v>
      </c>
      <c r="C34" s="80" t="s">
        <v>28</v>
      </c>
      <c r="D34" s="81"/>
      <c r="E34" s="80">
        <f>'Soil-G'!C43</f>
        <v>840</v>
      </c>
      <c r="F34" s="80">
        <f>'Soil-G'!D43</f>
        <v>469</v>
      </c>
      <c r="G34" s="80">
        <f>'Soil-G'!E43</f>
        <v>860</v>
      </c>
      <c r="H34" s="80">
        <f>'Soil-G'!F43</f>
        <v>335</v>
      </c>
      <c r="I34" s="80"/>
      <c r="J34" s="257">
        <f t="shared" si="0"/>
        <v>626</v>
      </c>
      <c r="K34" s="89"/>
      <c r="L34" s="97">
        <v>400</v>
      </c>
      <c r="M34" s="89"/>
      <c r="N34" s="245">
        <f t="shared" si="1"/>
        <v>226</v>
      </c>
    </row>
    <row r="35" spans="1:14" ht="11.25">
      <c r="A35" s="244" t="s">
        <v>98</v>
      </c>
      <c r="B35" s="77" t="s">
        <v>99</v>
      </c>
      <c r="C35" s="80" t="s">
        <v>28</v>
      </c>
      <c r="D35" s="81"/>
      <c r="E35" s="80"/>
      <c r="F35" s="80"/>
      <c r="G35" s="80"/>
      <c r="H35" s="80"/>
      <c r="I35" s="80"/>
      <c r="J35" s="257"/>
      <c r="K35" s="89"/>
      <c r="L35" s="97" t="s">
        <v>1</v>
      </c>
      <c r="M35" s="89"/>
      <c r="N35" s="248"/>
    </row>
    <row r="36" spans="1:14" ht="11.25">
      <c r="A36" s="244"/>
      <c r="B36" s="77"/>
      <c r="C36" s="76"/>
      <c r="D36" s="77"/>
      <c r="E36" s="76"/>
      <c r="F36" s="76"/>
      <c r="G36" s="91"/>
      <c r="H36" s="76"/>
      <c r="I36" s="76"/>
      <c r="J36" s="258"/>
      <c r="K36" s="83"/>
      <c r="L36" s="83"/>
      <c r="M36" s="83"/>
      <c r="N36" s="246"/>
    </row>
    <row r="37" spans="1:14" ht="11.25">
      <c r="A37" s="242" t="s">
        <v>100</v>
      </c>
      <c r="B37" s="84" t="s">
        <v>101</v>
      </c>
      <c r="C37" s="76"/>
      <c r="D37" s="77"/>
      <c r="E37" s="76"/>
      <c r="F37" s="76"/>
      <c r="G37" s="91"/>
      <c r="H37" s="76"/>
      <c r="I37" s="76"/>
      <c r="J37" s="258"/>
      <c r="K37" s="83"/>
      <c r="L37" s="83"/>
      <c r="M37" s="83"/>
      <c r="N37" s="246"/>
    </row>
    <row r="38" spans="1:14" ht="11.25">
      <c r="A38" s="244" t="s">
        <v>102</v>
      </c>
      <c r="B38" s="77" t="s">
        <v>103</v>
      </c>
      <c r="C38" s="80" t="s">
        <v>28</v>
      </c>
      <c r="D38" s="81"/>
      <c r="E38" s="80">
        <f>'Soil-G'!C11</f>
        <v>0.7</v>
      </c>
      <c r="F38" s="80">
        <f>'Soil-G'!D11</f>
        <v>0.4</v>
      </c>
      <c r="G38" s="80">
        <f>'Soil-G'!E11</f>
        <v>0.4</v>
      </c>
      <c r="H38" s="80">
        <f>'Soil-G'!F11</f>
        <v>0.6</v>
      </c>
      <c r="I38" s="80"/>
      <c r="J38" s="257">
        <f>AVERAGE(E38:H38)</f>
        <v>0.525</v>
      </c>
      <c r="K38" s="89"/>
      <c r="L38" s="88">
        <v>20</v>
      </c>
      <c r="M38" s="89"/>
      <c r="N38" s="245">
        <f>(SUM(J38-L38))</f>
        <v>-19.475</v>
      </c>
    </row>
    <row r="39" spans="1:14" ht="12" thickBot="1">
      <c r="A39" s="249" t="s">
        <v>104</v>
      </c>
      <c r="B39" s="250" t="s">
        <v>105</v>
      </c>
      <c r="C39" s="251" t="s">
        <v>28</v>
      </c>
      <c r="D39" s="250"/>
      <c r="E39" s="251">
        <f>'Soil-G'!C12</f>
        <v>14.5</v>
      </c>
      <c r="F39" s="251">
        <f>'Soil-G'!D12</f>
        <v>11.5</v>
      </c>
      <c r="G39" s="251">
        <f>'Soil-G'!E12</f>
        <v>15.7</v>
      </c>
      <c r="H39" s="251">
        <f>'Soil-G'!F12</f>
        <v>11.2</v>
      </c>
      <c r="I39" s="251"/>
      <c r="J39" s="260">
        <f>AVERAGE(E39:H39)</f>
        <v>13.225000000000001</v>
      </c>
      <c r="K39" s="253"/>
      <c r="L39" s="252">
        <v>5</v>
      </c>
      <c r="M39" s="253"/>
      <c r="N39" s="254">
        <f>(SUM(J39-L39))</f>
        <v>8.225000000000001</v>
      </c>
    </row>
    <row r="40" spans="3:7" ht="11.25">
      <c r="C40" s="98"/>
      <c r="G40" s="99"/>
    </row>
    <row r="41" spans="5:14" ht="11.25"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5:14" ht="11.25"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5:14" ht="11.25"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5:14" ht="11.25"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5:14" ht="11.25"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5:14" ht="11.25"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5:14" ht="11.25"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5:14" ht="11.25"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5:14" ht="11.25"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5:14" ht="11.25"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5:14" ht="11.25"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5:14" ht="11.25"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5:14" ht="11.25"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5:14" ht="11.25"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5:14" ht="11.25"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5:14" ht="11.25"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5:14" ht="11.25"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5:14" ht="11.25"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2:14" ht="11.25">
      <c r="B59" s="77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5:14" ht="11.25"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5:14" ht="11.25"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5:14" ht="11.25"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5:14" ht="11.25"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5:14" ht="11.25"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5:14" ht="11.25"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5:14" ht="11.25"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5:14" ht="11.25"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5:14" ht="11.25"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5:14" ht="11.25"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5:14" ht="11.25"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5:14" ht="11.25"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5:14" ht="11.25"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5:14" ht="11.25"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5:14" ht="11.25"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5:14" ht="11.25"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5:14" ht="11.25"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5:14" ht="11.25"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5:14" ht="11.25"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5:14" ht="11.25"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5:14" ht="11.25"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5:14" ht="11.25"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5:14" ht="11.25"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5:14" ht="11.25"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5:14" ht="11.25"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5:14" ht="11.25"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5:14" ht="11.25"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5:14" ht="11.25"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5:14" ht="11.25"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5:14" ht="11.25"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5:14" ht="11.25"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5:14" ht="11.25"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5:14" ht="11.25"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5:14" ht="11.25"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5:14" ht="11.25"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5:14" ht="11.25"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5:14" ht="11.25"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5:14" ht="11.25"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5:14" ht="11.25"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5:14" ht="11.25"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5:14" ht="11.25"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5:14" ht="11.25"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5:14" ht="11.25"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5:14" ht="11.25"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5:14" ht="11.25"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5:14" ht="11.25"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5:14" ht="11.25"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5:14" ht="11.25"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5:14" ht="11.25"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5:14" ht="11.25"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5:14" ht="11.25"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5:14" ht="11.25"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5:14" ht="11.25"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5:14" ht="11.25"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5:14" ht="11.25"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5:14" ht="11.25"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5:14" ht="11.25"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5:14" ht="11.25"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5:14" ht="11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5:14" ht="11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5:14" ht="11.25"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5:14" ht="11.25"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5:14" ht="11.25"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5:14" ht="11.25"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5:14" ht="11.25">
      <c r="E124" s="73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5:14" ht="11.25"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5:14" ht="11.25"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5:14" ht="11.25"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5:14" ht="11.25"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5:14" ht="11.25">
      <c r="E129" s="73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5:14" ht="11.25">
      <c r="E130" s="73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5:14" ht="11.25">
      <c r="E131" s="73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5:14" ht="11.25">
      <c r="E132" s="73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5:14" ht="11.25">
      <c r="E133" s="73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5:14" ht="11.25">
      <c r="E134" s="73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5:14" ht="11.25"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5:14" ht="11.25"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5:14" ht="11.25">
      <c r="E137" s="73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5:14" ht="11.25">
      <c r="E138" s="73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5:14" ht="11.25">
      <c r="E139" s="73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5:14" ht="11.25">
      <c r="E140" s="73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5:14" ht="11.25"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5:14" ht="11.25">
      <c r="E142" s="73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5:14" ht="11.25">
      <c r="E143" s="73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5:14" ht="11.25">
      <c r="E144" s="73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5:14" ht="11.25">
      <c r="E145" s="73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5:14" ht="11.25">
      <c r="E146" s="73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5:14" ht="11.25">
      <c r="E147" s="73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5:14" ht="11.25"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5:14" ht="11.25"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5:14" ht="11.25"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5:14" ht="11.25"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5:14" ht="11.25"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5:14" ht="11.25"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5:14" ht="11.25"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5:14" ht="11.25">
      <c r="E155" s="73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5:14" ht="11.25">
      <c r="E156" s="73"/>
      <c r="F156" s="73"/>
      <c r="G156" s="73"/>
      <c r="H156" s="73"/>
      <c r="I156" s="73"/>
      <c r="J156" s="73"/>
      <c r="K156" s="73"/>
      <c r="L156" s="73"/>
      <c r="M156" s="73"/>
      <c r="N156" s="73"/>
    </row>
    <row r="157" spans="5:14" ht="11.25"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5:14" ht="11.25"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5:14" ht="11.25"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5:14" ht="11.25"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5:14" ht="11.25"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5:14" ht="11.25"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5:14" ht="11.25">
      <c r="E163" s="73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5:14" ht="11.25">
      <c r="E164" s="73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5:14" ht="11.25">
      <c r="E165" s="73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5:14" ht="11.25">
      <c r="E166" s="73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5:14" ht="11.25">
      <c r="E167" s="73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5:14" ht="11.25"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5:14" ht="11.25">
      <c r="E169" s="73"/>
      <c r="F169" s="73"/>
      <c r="G169" s="73"/>
      <c r="H169" s="73"/>
      <c r="I169" s="73"/>
      <c r="J169" s="73"/>
      <c r="K169" s="73"/>
      <c r="L169" s="73"/>
      <c r="M169" s="73"/>
      <c r="N169" s="73"/>
    </row>
    <row r="170" spans="5:14" ht="11.25"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5:14" ht="11.25"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5:14" ht="11.25">
      <c r="E172" s="73"/>
      <c r="F172" s="73"/>
      <c r="G172" s="73"/>
      <c r="H172" s="73"/>
      <c r="I172" s="73"/>
      <c r="J172" s="73"/>
      <c r="K172" s="73"/>
      <c r="L172" s="73"/>
      <c r="M172" s="73"/>
      <c r="N172" s="73"/>
    </row>
    <row r="173" spans="5:14" ht="11.25"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5:14" ht="11.25">
      <c r="E174" s="73"/>
      <c r="F174" s="73"/>
      <c r="G174" s="73"/>
      <c r="H174" s="73"/>
      <c r="I174" s="73"/>
      <c r="J174" s="73"/>
      <c r="K174" s="73"/>
      <c r="L174" s="73"/>
      <c r="M174" s="73"/>
      <c r="N174" s="73"/>
    </row>
    <row r="175" spans="5:14" ht="11.25">
      <c r="E175" s="73"/>
      <c r="F175" s="73"/>
      <c r="G175" s="73"/>
      <c r="H175" s="73"/>
      <c r="I175" s="73"/>
      <c r="J175" s="73"/>
      <c r="K175" s="73"/>
      <c r="L175" s="73"/>
      <c r="M175" s="73"/>
      <c r="N175" s="73"/>
    </row>
    <row r="176" spans="5:14" ht="11.25">
      <c r="E176" s="73"/>
      <c r="F176" s="73"/>
      <c r="G176" s="73"/>
      <c r="H176" s="73"/>
      <c r="I176" s="73"/>
      <c r="J176" s="73"/>
      <c r="K176" s="73"/>
      <c r="L176" s="73"/>
      <c r="M176" s="73"/>
      <c r="N176" s="73"/>
    </row>
    <row r="177" spans="5:14" ht="11.25">
      <c r="E177" s="73"/>
      <c r="F177" s="73"/>
      <c r="G177" s="73"/>
      <c r="H177" s="73"/>
      <c r="I177" s="73"/>
      <c r="J177" s="73"/>
      <c r="K177" s="73"/>
      <c r="L177" s="73"/>
      <c r="M177" s="73"/>
      <c r="N177" s="73"/>
    </row>
    <row r="178" spans="5:14" ht="11.25">
      <c r="E178" s="73"/>
      <c r="F178" s="73"/>
      <c r="G178" s="73"/>
      <c r="H178" s="73"/>
      <c r="I178" s="73"/>
      <c r="J178" s="73"/>
      <c r="K178" s="73"/>
      <c r="L178" s="73"/>
      <c r="M178" s="73"/>
      <c r="N178" s="73"/>
    </row>
    <row r="179" spans="5:14" ht="11.25">
      <c r="E179" s="73"/>
      <c r="F179" s="73"/>
      <c r="G179" s="73"/>
      <c r="H179" s="73"/>
      <c r="I179" s="73"/>
      <c r="J179" s="73"/>
      <c r="K179" s="73"/>
      <c r="L179" s="73"/>
      <c r="M179" s="73"/>
      <c r="N179" s="73"/>
    </row>
    <row r="180" spans="5:14" ht="11.25">
      <c r="E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5:14" ht="11.25">
      <c r="E181" s="73"/>
      <c r="F181" s="73"/>
      <c r="G181" s="73"/>
      <c r="H181" s="73"/>
      <c r="I181" s="73"/>
      <c r="J181" s="73"/>
      <c r="K181" s="73"/>
      <c r="L181" s="73"/>
      <c r="M181" s="73"/>
      <c r="N181" s="73"/>
    </row>
    <row r="182" spans="5:14" ht="11.25">
      <c r="E182" s="73"/>
      <c r="F182" s="73"/>
      <c r="G182" s="73"/>
      <c r="H182" s="73"/>
      <c r="I182" s="73"/>
      <c r="J182" s="73"/>
      <c r="K182" s="73"/>
      <c r="L182" s="73"/>
      <c r="M182" s="73"/>
      <c r="N182" s="73"/>
    </row>
    <row r="183" spans="5:14" ht="11.25">
      <c r="E183" s="73"/>
      <c r="F183" s="73"/>
      <c r="G183" s="73"/>
      <c r="H183" s="73"/>
      <c r="I183" s="73"/>
      <c r="J183" s="73"/>
      <c r="K183" s="73"/>
      <c r="L183" s="73"/>
      <c r="M183" s="73"/>
      <c r="N183" s="73"/>
    </row>
    <row r="184" spans="5:14" ht="11.25">
      <c r="E184" s="73"/>
      <c r="F184" s="73"/>
      <c r="G184" s="73"/>
      <c r="H184" s="73"/>
      <c r="I184" s="73"/>
      <c r="J184" s="73"/>
      <c r="K184" s="73"/>
      <c r="L184" s="73"/>
      <c r="M184" s="73"/>
      <c r="N184" s="73"/>
    </row>
    <row r="185" spans="5:14" ht="11.25">
      <c r="E185" s="73"/>
      <c r="F185" s="73"/>
      <c r="G185" s="73"/>
      <c r="H185" s="73"/>
      <c r="I185" s="73"/>
      <c r="J185" s="73"/>
      <c r="K185" s="73"/>
      <c r="L185" s="73"/>
      <c r="M185" s="73"/>
      <c r="N185" s="73"/>
    </row>
    <row r="186" spans="5:14" ht="11.25">
      <c r="E186" s="73"/>
      <c r="F186" s="73"/>
      <c r="G186" s="73"/>
      <c r="H186" s="73"/>
      <c r="I186" s="73"/>
      <c r="J186" s="73"/>
      <c r="K186" s="73"/>
      <c r="L186" s="73"/>
      <c r="M186" s="73"/>
      <c r="N186" s="73"/>
    </row>
    <row r="187" spans="5:14" ht="11.25">
      <c r="E187" s="73"/>
      <c r="F187" s="73"/>
      <c r="G187" s="73"/>
      <c r="H187" s="73"/>
      <c r="I187" s="73"/>
      <c r="J187" s="73"/>
      <c r="K187" s="73"/>
      <c r="L187" s="73"/>
      <c r="M187" s="73"/>
      <c r="N187" s="73"/>
    </row>
    <row r="188" spans="5:14" ht="11.25">
      <c r="E188" s="73"/>
      <c r="F188" s="73"/>
      <c r="G188" s="73"/>
      <c r="H188" s="73"/>
      <c r="I188" s="73"/>
      <c r="J188" s="73"/>
      <c r="K188" s="73"/>
      <c r="L188" s="73"/>
      <c r="M188" s="73"/>
      <c r="N188" s="73"/>
    </row>
    <row r="189" spans="5:14" ht="11.25">
      <c r="E189" s="73"/>
      <c r="F189" s="73"/>
      <c r="G189" s="73"/>
      <c r="H189" s="73"/>
      <c r="I189" s="73"/>
      <c r="J189" s="73"/>
      <c r="K189" s="73"/>
      <c r="L189" s="73"/>
      <c r="M189" s="73"/>
      <c r="N189" s="73"/>
    </row>
    <row r="190" spans="5:14" ht="11.25">
      <c r="E190" s="73"/>
      <c r="F190" s="73"/>
      <c r="G190" s="73"/>
      <c r="H190" s="73"/>
      <c r="I190" s="73"/>
      <c r="J190" s="73"/>
      <c r="K190" s="73"/>
      <c r="L190" s="73"/>
      <c r="M190" s="73"/>
      <c r="N190" s="73"/>
    </row>
    <row r="191" spans="5:14" ht="11.25">
      <c r="E191" s="73"/>
      <c r="F191" s="73"/>
      <c r="G191" s="73"/>
      <c r="H191" s="73"/>
      <c r="I191" s="73"/>
      <c r="J191" s="73"/>
      <c r="K191" s="73"/>
      <c r="L191" s="73"/>
      <c r="M191" s="73"/>
      <c r="N191" s="73"/>
    </row>
    <row r="192" spans="5:14" ht="11.25">
      <c r="E192" s="73"/>
      <c r="F192" s="73"/>
      <c r="G192" s="73"/>
      <c r="H192" s="73"/>
      <c r="I192" s="73"/>
      <c r="J192" s="73"/>
      <c r="K192" s="73"/>
      <c r="L192" s="73"/>
      <c r="M192" s="73"/>
      <c r="N192" s="73"/>
    </row>
    <row r="193" spans="5:14" ht="11.25">
      <c r="E193" s="73"/>
      <c r="F193" s="73"/>
      <c r="G193" s="73"/>
      <c r="H193" s="73"/>
      <c r="I193" s="73"/>
      <c r="J193" s="73"/>
      <c r="K193" s="73"/>
      <c r="L193" s="73"/>
      <c r="M193" s="73"/>
      <c r="N193" s="73"/>
    </row>
    <row r="194" spans="5:14" ht="11.25">
      <c r="E194" s="73"/>
      <c r="F194" s="73"/>
      <c r="G194" s="73"/>
      <c r="H194" s="73"/>
      <c r="I194" s="73"/>
      <c r="J194" s="73"/>
      <c r="K194" s="73"/>
      <c r="L194" s="73"/>
      <c r="M194" s="73"/>
      <c r="N194" s="73"/>
    </row>
    <row r="195" spans="5:14" ht="11.25">
      <c r="E195" s="73"/>
      <c r="F195" s="73"/>
      <c r="G195" s="73"/>
      <c r="H195" s="73"/>
      <c r="I195" s="73"/>
      <c r="J195" s="73"/>
      <c r="K195" s="73"/>
      <c r="L195" s="73"/>
      <c r="M195" s="73"/>
      <c r="N195" s="73"/>
    </row>
    <row r="196" spans="5:14" ht="11.25">
      <c r="E196" s="73"/>
      <c r="F196" s="73"/>
      <c r="G196" s="73"/>
      <c r="H196" s="73"/>
      <c r="I196" s="73"/>
      <c r="J196" s="73"/>
      <c r="K196" s="73"/>
      <c r="L196" s="73"/>
      <c r="M196" s="73"/>
      <c r="N196" s="73"/>
    </row>
    <row r="197" spans="5:14" ht="11.25">
      <c r="E197" s="73"/>
      <c r="F197" s="73"/>
      <c r="G197" s="73"/>
      <c r="H197" s="73"/>
      <c r="I197" s="73"/>
      <c r="J197" s="73"/>
      <c r="K197" s="73"/>
      <c r="L197" s="73"/>
      <c r="M197" s="73"/>
      <c r="N197" s="73"/>
    </row>
    <row r="198" spans="5:14" ht="11.25">
      <c r="E198" s="73"/>
      <c r="F198" s="73"/>
      <c r="G198" s="73"/>
      <c r="H198" s="73"/>
      <c r="I198" s="73"/>
      <c r="J198" s="73"/>
      <c r="K198" s="73"/>
      <c r="L198" s="73"/>
      <c r="M198" s="73"/>
      <c r="N198" s="73"/>
    </row>
    <row r="199" spans="5:14" ht="11.25">
      <c r="E199" s="73"/>
      <c r="F199" s="73"/>
      <c r="G199" s="73"/>
      <c r="H199" s="73"/>
      <c r="I199" s="73"/>
      <c r="J199" s="73"/>
      <c r="K199" s="73"/>
      <c r="L199" s="73"/>
      <c r="M199" s="73"/>
      <c r="N199" s="73"/>
    </row>
    <row r="200" spans="5:14" ht="11.25">
      <c r="E200" s="73"/>
      <c r="F200" s="73"/>
      <c r="G200" s="73"/>
      <c r="H200" s="73"/>
      <c r="I200" s="73"/>
      <c r="J200" s="73"/>
      <c r="K200" s="73"/>
      <c r="L200" s="73"/>
      <c r="M200" s="73"/>
      <c r="N200" s="73"/>
    </row>
    <row r="201" spans="5:14" ht="11.25">
      <c r="E201" s="73"/>
      <c r="F201" s="73"/>
      <c r="G201" s="73"/>
      <c r="H201" s="73"/>
      <c r="I201" s="73"/>
      <c r="J201" s="73"/>
      <c r="K201" s="73"/>
      <c r="L201" s="73"/>
      <c r="M201" s="73"/>
      <c r="N201" s="73"/>
    </row>
    <row r="202" spans="5:14" ht="11.25">
      <c r="E202" s="73"/>
      <c r="F202" s="73"/>
      <c r="G202" s="73"/>
      <c r="H202" s="73"/>
      <c r="I202" s="73"/>
      <c r="J202" s="73"/>
      <c r="K202" s="73"/>
      <c r="L202" s="73"/>
      <c r="M202" s="73"/>
      <c r="N202" s="73"/>
    </row>
    <row r="203" spans="5:14" ht="11.25">
      <c r="E203" s="73"/>
      <c r="F203" s="73"/>
      <c r="G203" s="73"/>
      <c r="H203" s="73"/>
      <c r="I203" s="73"/>
      <c r="J203" s="73"/>
      <c r="K203" s="73"/>
      <c r="L203" s="73"/>
      <c r="M203" s="73"/>
      <c r="N203" s="73"/>
    </row>
    <row r="204" spans="5:14" ht="11.25">
      <c r="E204" s="73"/>
      <c r="F204" s="73"/>
      <c r="G204" s="73"/>
      <c r="H204" s="73"/>
      <c r="I204" s="73"/>
      <c r="J204" s="73"/>
      <c r="K204" s="73"/>
      <c r="L204" s="73"/>
      <c r="M204" s="73"/>
      <c r="N204" s="73"/>
    </row>
    <row r="205" spans="5:14" ht="11.25">
      <c r="E205" s="73"/>
      <c r="F205" s="73"/>
      <c r="G205" s="73"/>
      <c r="H205" s="73"/>
      <c r="I205" s="73"/>
      <c r="J205" s="73"/>
      <c r="K205" s="73"/>
      <c r="L205" s="73"/>
      <c r="M205" s="73"/>
      <c r="N205" s="73"/>
    </row>
    <row r="206" spans="5:14" ht="11.25">
      <c r="E206" s="73"/>
      <c r="F206" s="73"/>
      <c r="G206" s="73"/>
      <c r="H206" s="73"/>
      <c r="I206" s="73"/>
      <c r="J206" s="73"/>
      <c r="K206" s="73"/>
      <c r="L206" s="73"/>
      <c r="M206" s="73"/>
      <c r="N206" s="73"/>
    </row>
    <row r="207" spans="5:14" ht="11.25">
      <c r="E207" s="73"/>
      <c r="F207" s="73"/>
      <c r="G207" s="73"/>
      <c r="H207" s="73"/>
      <c r="I207" s="73"/>
      <c r="J207" s="73"/>
      <c r="K207" s="73"/>
      <c r="L207" s="73"/>
      <c r="M207" s="73"/>
      <c r="N207" s="73"/>
    </row>
    <row r="208" spans="5:14" ht="11.25">
      <c r="E208" s="73"/>
      <c r="F208" s="73"/>
      <c r="G208" s="73"/>
      <c r="H208" s="73"/>
      <c r="I208" s="73"/>
      <c r="J208" s="73"/>
      <c r="K208" s="73"/>
      <c r="L208" s="73"/>
      <c r="M208" s="73"/>
      <c r="N208" s="73"/>
    </row>
    <row r="209" spans="5:14" ht="11.25">
      <c r="E209" s="73"/>
      <c r="F209" s="73"/>
      <c r="G209" s="73"/>
      <c r="H209" s="73"/>
      <c r="I209" s="73"/>
      <c r="J209" s="73"/>
      <c r="K209" s="73"/>
      <c r="L209" s="73"/>
      <c r="M209" s="73"/>
      <c r="N209" s="73"/>
    </row>
    <row r="210" spans="5:14" ht="11.25">
      <c r="E210" s="73"/>
      <c r="F210" s="73"/>
      <c r="G210" s="73"/>
      <c r="H210" s="73"/>
      <c r="I210" s="73"/>
      <c r="J210" s="73"/>
      <c r="K210" s="73"/>
      <c r="L210" s="73"/>
      <c r="M210" s="73"/>
      <c r="N210" s="73"/>
    </row>
    <row r="211" spans="5:14" ht="11.25">
      <c r="E211" s="73"/>
      <c r="F211" s="73"/>
      <c r="G211" s="73"/>
      <c r="H211" s="73"/>
      <c r="I211" s="73"/>
      <c r="J211" s="73"/>
      <c r="K211" s="73"/>
      <c r="L211" s="73"/>
      <c r="M211" s="73"/>
      <c r="N211" s="73"/>
    </row>
    <row r="212" spans="5:14" ht="11.25">
      <c r="E212" s="73"/>
      <c r="F212" s="73"/>
      <c r="G212" s="73"/>
      <c r="H212" s="73"/>
      <c r="I212" s="73"/>
      <c r="J212" s="73"/>
      <c r="K212" s="73"/>
      <c r="L212" s="73"/>
      <c r="M212" s="73"/>
      <c r="N212" s="73"/>
    </row>
    <row r="213" spans="5:14" ht="11.25">
      <c r="E213" s="73"/>
      <c r="F213" s="73"/>
      <c r="G213" s="73"/>
      <c r="H213" s="73"/>
      <c r="I213" s="73"/>
      <c r="J213" s="73"/>
      <c r="K213" s="73"/>
      <c r="L213" s="73"/>
      <c r="M213" s="73"/>
      <c r="N213" s="73"/>
    </row>
    <row r="214" spans="5:14" ht="11.25">
      <c r="E214" s="73"/>
      <c r="F214" s="73"/>
      <c r="G214" s="73"/>
      <c r="H214" s="73"/>
      <c r="I214" s="73"/>
      <c r="J214" s="73"/>
      <c r="K214" s="73"/>
      <c r="L214" s="73"/>
      <c r="M214" s="73"/>
      <c r="N214" s="73"/>
    </row>
    <row r="215" spans="5:14" ht="11.25">
      <c r="E215" s="73"/>
      <c r="F215" s="73"/>
      <c r="G215" s="73"/>
      <c r="H215" s="73"/>
      <c r="I215" s="73"/>
      <c r="J215" s="73"/>
      <c r="K215" s="73"/>
      <c r="L215" s="73"/>
      <c r="M215" s="73"/>
      <c r="N215" s="73"/>
    </row>
    <row r="216" spans="5:14" ht="11.25">
      <c r="E216" s="73"/>
      <c r="F216" s="73"/>
      <c r="G216" s="73"/>
      <c r="H216" s="73"/>
      <c r="I216" s="73"/>
      <c r="J216" s="73"/>
      <c r="K216" s="73"/>
      <c r="L216" s="73"/>
      <c r="M216" s="73"/>
      <c r="N216" s="73"/>
    </row>
    <row r="217" spans="5:14" ht="11.25">
      <c r="E217" s="73"/>
      <c r="F217" s="73"/>
      <c r="G217" s="73"/>
      <c r="H217" s="73"/>
      <c r="I217" s="73"/>
      <c r="J217" s="73"/>
      <c r="K217" s="73"/>
      <c r="L217" s="73"/>
      <c r="M217" s="73"/>
      <c r="N217" s="73"/>
    </row>
    <row r="218" spans="5:14" ht="11.25">
      <c r="E218" s="73"/>
      <c r="F218" s="73"/>
      <c r="G218" s="73"/>
      <c r="H218" s="73"/>
      <c r="I218" s="73"/>
      <c r="J218" s="73"/>
      <c r="K218" s="73"/>
      <c r="L218" s="73"/>
      <c r="M218" s="73"/>
      <c r="N218" s="73"/>
    </row>
    <row r="219" spans="5:14" ht="11.25">
      <c r="E219" s="73"/>
      <c r="F219" s="73"/>
      <c r="G219" s="73"/>
      <c r="H219" s="73"/>
      <c r="I219" s="73"/>
      <c r="J219" s="73"/>
      <c r="K219" s="73"/>
      <c r="L219" s="73"/>
      <c r="M219" s="73"/>
      <c r="N219" s="73"/>
    </row>
    <row r="220" spans="5:14" ht="11.25">
      <c r="E220" s="73"/>
      <c r="F220" s="73"/>
      <c r="G220" s="73"/>
      <c r="H220" s="73"/>
      <c r="I220" s="73"/>
      <c r="J220" s="73"/>
      <c r="K220" s="73"/>
      <c r="L220" s="73"/>
      <c r="M220" s="73"/>
      <c r="N220" s="73"/>
    </row>
    <row r="221" spans="5:14" ht="11.25">
      <c r="E221" s="73"/>
      <c r="F221" s="73"/>
      <c r="G221" s="73"/>
      <c r="H221" s="73"/>
      <c r="I221" s="73"/>
      <c r="J221" s="73"/>
      <c r="K221" s="73"/>
      <c r="L221" s="73"/>
      <c r="M221" s="73"/>
      <c r="N221" s="73"/>
    </row>
    <row r="222" spans="5:14" ht="11.25">
      <c r="E222" s="73"/>
      <c r="F222" s="73"/>
      <c r="G222" s="73"/>
      <c r="H222" s="73"/>
      <c r="I222" s="73"/>
      <c r="J222" s="73"/>
      <c r="K222" s="73"/>
      <c r="L222" s="73"/>
      <c r="M222" s="73"/>
      <c r="N222" s="73"/>
    </row>
    <row r="223" spans="5:14" ht="11.25">
      <c r="E223" s="73"/>
      <c r="F223" s="73"/>
      <c r="G223" s="73"/>
      <c r="H223" s="73"/>
      <c r="I223" s="73"/>
      <c r="J223" s="73"/>
      <c r="K223" s="73"/>
      <c r="L223" s="73"/>
      <c r="M223" s="73"/>
      <c r="N223" s="73"/>
    </row>
    <row r="224" spans="5:14" ht="11.25">
      <c r="E224" s="73"/>
      <c r="F224" s="73"/>
      <c r="G224" s="73"/>
      <c r="H224" s="73"/>
      <c r="I224" s="73"/>
      <c r="J224" s="73"/>
      <c r="K224" s="73"/>
      <c r="L224" s="73"/>
      <c r="M224" s="73"/>
      <c r="N224" s="73"/>
    </row>
    <row r="225" spans="5:14" ht="11.25">
      <c r="E225" s="73"/>
      <c r="F225" s="73"/>
      <c r="G225" s="73"/>
      <c r="H225" s="73"/>
      <c r="I225" s="73"/>
      <c r="J225" s="73"/>
      <c r="K225" s="73"/>
      <c r="L225" s="73"/>
      <c r="M225" s="73"/>
      <c r="N225" s="73"/>
    </row>
    <row r="226" spans="5:14" ht="11.25">
      <c r="E226" s="73"/>
      <c r="F226" s="73"/>
      <c r="G226" s="73"/>
      <c r="H226" s="73"/>
      <c r="I226" s="73"/>
      <c r="J226" s="73"/>
      <c r="K226" s="73"/>
      <c r="L226" s="73"/>
      <c r="M226" s="73"/>
      <c r="N226" s="73"/>
    </row>
    <row r="227" spans="5:14" ht="11.25">
      <c r="E227" s="73"/>
      <c r="F227" s="73"/>
      <c r="G227" s="73"/>
      <c r="H227" s="73"/>
      <c r="I227" s="73"/>
      <c r="J227" s="73"/>
      <c r="K227" s="73"/>
      <c r="L227" s="73"/>
      <c r="M227" s="73"/>
      <c r="N227" s="73"/>
    </row>
    <row r="228" spans="5:14" ht="11.25">
      <c r="E228" s="73"/>
      <c r="F228" s="73"/>
      <c r="G228" s="73"/>
      <c r="H228" s="73"/>
      <c r="I228" s="73"/>
      <c r="J228" s="73"/>
      <c r="K228" s="73"/>
      <c r="L228" s="73"/>
      <c r="M228" s="73"/>
      <c r="N228" s="73"/>
    </row>
    <row r="229" spans="5:14" ht="11.25"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5:14" ht="11.25">
      <c r="E230" s="73"/>
      <c r="F230" s="73"/>
      <c r="G230" s="73"/>
      <c r="H230" s="73"/>
      <c r="I230" s="73"/>
      <c r="J230" s="73"/>
      <c r="K230" s="73"/>
      <c r="L230" s="73"/>
      <c r="M230" s="73"/>
      <c r="N230" s="73"/>
    </row>
    <row r="231" spans="5:14" ht="11.25">
      <c r="E231" s="73"/>
      <c r="F231" s="73"/>
      <c r="G231" s="73"/>
      <c r="H231" s="73"/>
      <c r="I231" s="73"/>
      <c r="J231" s="73"/>
      <c r="K231" s="73"/>
      <c r="L231" s="73"/>
      <c r="M231" s="73"/>
      <c r="N231" s="73"/>
    </row>
    <row r="232" spans="5:14" ht="11.25">
      <c r="E232" s="73"/>
      <c r="F232" s="73"/>
      <c r="G232" s="73"/>
      <c r="H232" s="73"/>
      <c r="I232" s="73"/>
      <c r="J232" s="73"/>
      <c r="K232" s="73"/>
      <c r="L232" s="73"/>
      <c r="M232" s="73"/>
      <c r="N232" s="73"/>
    </row>
    <row r="233" spans="5:14" ht="11.25">
      <c r="E233" s="73"/>
      <c r="F233" s="73"/>
      <c r="G233" s="73"/>
      <c r="H233" s="73"/>
      <c r="I233" s="73"/>
      <c r="J233" s="73"/>
      <c r="K233" s="73"/>
      <c r="L233" s="73"/>
      <c r="M233" s="73"/>
      <c r="N233" s="73"/>
    </row>
    <row r="234" spans="5:14" ht="11.25">
      <c r="E234" s="73"/>
      <c r="F234" s="73"/>
      <c r="G234" s="73"/>
      <c r="H234" s="73"/>
      <c r="I234" s="73"/>
      <c r="J234" s="73"/>
      <c r="K234" s="73"/>
      <c r="L234" s="73"/>
      <c r="M234" s="73"/>
      <c r="N234" s="73"/>
    </row>
    <row r="235" spans="5:14" ht="11.25">
      <c r="E235" s="73"/>
      <c r="F235" s="73"/>
      <c r="G235" s="73"/>
      <c r="H235" s="73"/>
      <c r="I235" s="73"/>
      <c r="J235" s="73"/>
      <c r="K235" s="73"/>
      <c r="L235" s="73"/>
      <c r="M235" s="73"/>
      <c r="N235" s="73"/>
    </row>
    <row r="236" spans="5:14" ht="11.25">
      <c r="E236" s="73"/>
      <c r="F236" s="73"/>
      <c r="G236" s="73"/>
      <c r="H236" s="73"/>
      <c r="I236" s="73"/>
      <c r="J236" s="73"/>
      <c r="K236" s="73"/>
      <c r="L236" s="73"/>
      <c r="M236" s="73"/>
      <c r="N236" s="73"/>
    </row>
    <row r="237" spans="5:14" ht="11.25">
      <c r="E237" s="73"/>
      <c r="F237" s="73"/>
      <c r="G237" s="73"/>
      <c r="H237" s="73"/>
      <c r="I237" s="73"/>
      <c r="J237" s="73"/>
      <c r="K237" s="73"/>
      <c r="L237" s="73"/>
      <c r="M237" s="73"/>
      <c r="N237" s="73"/>
    </row>
    <row r="238" spans="5:14" ht="11.25">
      <c r="E238" s="73"/>
      <c r="F238" s="73"/>
      <c r="G238" s="73"/>
      <c r="H238" s="73"/>
      <c r="I238" s="73"/>
      <c r="J238" s="73"/>
      <c r="K238" s="73"/>
      <c r="L238" s="73"/>
      <c r="M238" s="73"/>
      <c r="N238" s="73"/>
    </row>
    <row r="239" spans="5:14" ht="11.25">
      <c r="E239" s="73"/>
      <c r="F239" s="73"/>
      <c r="G239" s="73"/>
      <c r="H239" s="73"/>
      <c r="I239" s="73"/>
      <c r="J239" s="73"/>
      <c r="K239" s="73"/>
      <c r="L239" s="73"/>
      <c r="M239" s="73"/>
      <c r="N239" s="73"/>
    </row>
    <row r="240" spans="5:14" ht="11.25">
      <c r="E240" s="73"/>
      <c r="F240" s="73"/>
      <c r="G240" s="73"/>
      <c r="H240" s="73"/>
      <c r="I240" s="73"/>
      <c r="J240" s="73"/>
      <c r="K240" s="73"/>
      <c r="L240" s="73"/>
      <c r="M240" s="73"/>
      <c r="N240" s="73"/>
    </row>
    <row r="241" spans="5:14" ht="11.25">
      <c r="E241" s="73"/>
      <c r="F241" s="73"/>
      <c r="G241" s="73"/>
      <c r="H241" s="73"/>
      <c r="I241" s="73"/>
      <c r="J241" s="73"/>
      <c r="K241" s="73"/>
      <c r="L241" s="73"/>
      <c r="M241" s="73"/>
      <c r="N241" s="73"/>
    </row>
    <row r="242" spans="5:14" ht="11.25">
      <c r="E242" s="73"/>
      <c r="F242" s="73"/>
      <c r="G242" s="73"/>
      <c r="H242" s="73"/>
      <c r="I242" s="73"/>
      <c r="J242" s="73"/>
      <c r="K242" s="73"/>
      <c r="L242" s="73"/>
      <c r="M242" s="73"/>
      <c r="N242" s="73"/>
    </row>
    <row r="243" spans="5:14" ht="11.25">
      <c r="E243" s="73"/>
      <c r="F243" s="73"/>
      <c r="G243" s="73"/>
      <c r="H243" s="73"/>
      <c r="I243" s="73"/>
      <c r="J243" s="73"/>
      <c r="K243" s="73"/>
      <c r="L243" s="73"/>
      <c r="M243" s="73"/>
      <c r="N243" s="73"/>
    </row>
    <row r="244" spans="5:14" ht="11.25">
      <c r="E244" s="73"/>
      <c r="F244" s="73"/>
      <c r="G244" s="73"/>
      <c r="H244" s="73"/>
      <c r="I244" s="73"/>
      <c r="J244" s="73"/>
      <c r="K244" s="73"/>
      <c r="L244" s="73"/>
      <c r="M244" s="73"/>
      <c r="N244" s="73"/>
    </row>
    <row r="245" spans="5:14" ht="11.25">
      <c r="E245" s="73"/>
      <c r="F245" s="73"/>
      <c r="G245" s="73"/>
      <c r="H245" s="73"/>
      <c r="I245" s="73"/>
      <c r="J245" s="73"/>
      <c r="K245" s="73"/>
      <c r="L245" s="73"/>
      <c r="M245" s="73"/>
      <c r="N245" s="73"/>
    </row>
    <row r="246" spans="5:14" ht="11.25">
      <c r="E246" s="73"/>
      <c r="F246" s="73"/>
      <c r="G246" s="73"/>
      <c r="H246" s="73"/>
      <c r="I246" s="73"/>
      <c r="J246" s="73"/>
      <c r="K246" s="73"/>
      <c r="L246" s="73"/>
      <c r="M246" s="73"/>
      <c r="N246" s="73"/>
    </row>
    <row r="247" spans="5:14" ht="11.25">
      <c r="E247" s="73"/>
      <c r="F247" s="73"/>
      <c r="G247" s="73"/>
      <c r="H247" s="73"/>
      <c r="I247" s="73"/>
      <c r="J247" s="73"/>
      <c r="K247" s="73"/>
      <c r="L247" s="73"/>
      <c r="M247" s="73"/>
      <c r="N247" s="73"/>
    </row>
    <row r="248" spans="5:14" ht="11.25">
      <c r="E248" s="73"/>
      <c r="F248" s="73"/>
      <c r="G248" s="73"/>
      <c r="H248" s="73"/>
      <c r="I248" s="73"/>
      <c r="J248" s="73"/>
      <c r="K248" s="73"/>
      <c r="L248" s="73"/>
      <c r="M248" s="73"/>
      <c r="N248" s="73"/>
    </row>
    <row r="249" spans="5:14" ht="11.25">
      <c r="E249" s="73"/>
      <c r="F249" s="73"/>
      <c r="G249" s="73"/>
      <c r="H249" s="73"/>
      <c r="I249" s="73"/>
      <c r="J249" s="73"/>
      <c r="K249" s="73"/>
      <c r="L249" s="73"/>
      <c r="M249" s="73"/>
      <c r="N249" s="73"/>
    </row>
    <row r="250" spans="5:14" ht="11.25">
      <c r="E250" s="73"/>
      <c r="F250" s="73"/>
      <c r="G250" s="73"/>
      <c r="H250" s="73"/>
      <c r="I250" s="73"/>
      <c r="J250" s="73"/>
      <c r="K250" s="73"/>
      <c r="L250" s="73"/>
      <c r="M250" s="73"/>
      <c r="N250" s="73"/>
    </row>
    <row r="251" spans="5:14" ht="11.25">
      <c r="E251" s="73"/>
      <c r="F251" s="73"/>
      <c r="G251" s="73"/>
      <c r="H251" s="73"/>
      <c r="I251" s="73"/>
      <c r="J251" s="73"/>
      <c r="K251" s="73"/>
      <c r="L251" s="73"/>
      <c r="M251" s="73"/>
      <c r="N251" s="73"/>
    </row>
    <row r="252" spans="5:14" ht="11.25">
      <c r="E252" s="73"/>
      <c r="F252" s="73"/>
      <c r="G252" s="73"/>
      <c r="H252" s="73"/>
      <c r="I252" s="73"/>
      <c r="J252" s="73"/>
      <c r="K252" s="73"/>
      <c r="L252" s="73"/>
      <c r="M252" s="73"/>
      <c r="N252" s="73"/>
    </row>
    <row r="253" spans="5:14" ht="11.25">
      <c r="E253" s="73"/>
      <c r="F253" s="73"/>
      <c r="G253" s="73"/>
      <c r="H253" s="73"/>
      <c r="I253" s="73"/>
      <c r="J253" s="73"/>
      <c r="K253" s="73"/>
      <c r="L253" s="73"/>
      <c r="M253" s="73"/>
      <c r="N253" s="73"/>
    </row>
    <row r="254" spans="5:14" ht="11.25">
      <c r="E254" s="73"/>
      <c r="F254" s="73"/>
      <c r="G254" s="73"/>
      <c r="H254" s="73"/>
      <c r="I254" s="73"/>
      <c r="J254" s="73"/>
      <c r="K254" s="73"/>
      <c r="L254" s="73"/>
      <c r="M254" s="73"/>
      <c r="N254" s="73"/>
    </row>
    <row r="255" spans="5:14" ht="11.25">
      <c r="E255" s="73"/>
      <c r="F255" s="73"/>
      <c r="G255" s="73"/>
      <c r="H255" s="73"/>
      <c r="I255" s="73"/>
      <c r="J255" s="73"/>
      <c r="K255" s="73"/>
      <c r="L255" s="73"/>
      <c r="M255" s="73"/>
      <c r="N255" s="73"/>
    </row>
    <row r="256" spans="5:14" ht="11.25">
      <c r="E256" s="73"/>
      <c r="F256" s="73"/>
      <c r="G256" s="73"/>
      <c r="H256" s="73"/>
      <c r="I256" s="73"/>
      <c r="J256" s="73"/>
      <c r="K256" s="73"/>
      <c r="L256" s="73"/>
      <c r="M256" s="73"/>
      <c r="N256" s="73"/>
    </row>
    <row r="257" spans="5:14" ht="11.25">
      <c r="E257" s="73"/>
      <c r="F257" s="73"/>
      <c r="G257" s="73"/>
      <c r="H257" s="73"/>
      <c r="I257" s="73"/>
      <c r="J257" s="73"/>
      <c r="K257" s="73"/>
      <c r="L257" s="73"/>
      <c r="M257" s="73"/>
      <c r="N257" s="73"/>
    </row>
    <row r="258" spans="5:14" ht="11.25">
      <c r="E258" s="73"/>
      <c r="F258" s="73"/>
      <c r="G258" s="73"/>
      <c r="H258" s="73"/>
      <c r="I258" s="73"/>
      <c r="J258" s="73"/>
      <c r="K258" s="73"/>
      <c r="L258" s="73"/>
      <c r="M258" s="73"/>
      <c r="N258" s="73"/>
    </row>
    <row r="259" spans="5:14" ht="11.25">
      <c r="E259" s="73"/>
      <c r="F259" s="73"/>
      <c r="G259" s="73"/>
      <c r="H259" s="73"/>
      <c r="I259" s="73"/>
      <c r="J259" s="73"/>
      <c r="K259" s="73"/>
      <c r="L259" s="73"/>
      <c r="M259" s="73"/>
      <c r="N259" s="73"/>
    </row>
    <row r="260" spans="5:14" ht="11.25">
      <c r="E260" s="73"/>
      <c r="F260" s="73"/>
      <c r="G260" s="73"/>
      <c r="H260" s="73"/>
      <c r="I260" s="73"/>
      <c r="J260" s="73"/>
      <c r="K260" s="73"/>
      <c r="L260" s="73"/>
      <c r="M260" s="73"/>
      <c r="N260" s="73"/>
    </row>
    <row r="261" spans="5:14" ht="11.25">
      <c r="E261" s="73"/>
      <c r="F261" s="73"/>
      <c r="G261" s="73"/>
      <c r="H261" s="73"/>
      <c r="I261" s="73"/>
      <c r="J261" s="73"/>
      <c r="K261" s="73"/>
      <c r="L261" s="73"/>
      <c r="M261" s="73"/>
      <c r="N261" s="73"/>
    </row>
    <row r="262" spans="5:14" ht="11.25">
      <c r="E262" s="73"/>
      <c r="F262" s="73"/>
      <c r="G262" s="73"/>
      <c r="H262" s="73"/>
      <c r="I262" s="73"/>
      <c r="J262" s="73"/>
      <c r="K262" s="73"/>
      <c r="L262" s="73"/>
      <c r="M262" s="73"/>
      <c r="N262" s="73"/>
    </row>
    <row r="263" spans="5:14" ht="11.25">
      <c r="E263" s="73"/>
      <c r="F263" s="73"/>
      <c r="G263" s="73"/>
      <c r="H263" s="73"/>
      <c r="I263" s="73"/>
      <c r="J263" s="73"/>
      <c r="K263" s="73"/>
      <c r="L263" s="73"/>
      <c r="M263" s="73"/>
      <c r="N263" s="73"/>
    </row>
    <row r="264" spans="5:14" ht="11.25">
      <c r="E264" s="73"/>
      <c r="F264" s="73"/>
      <c r="G264" s="73"/>
      <c r="H264" s="73"/>
      <c r="I264" s="73"/>
      <c r="J264" s="73"/>
      <c r="K264" s="73"/>
      <c r="L264" s="73"/>
      <c r="M264" s="73"/>
      <c r="N264" s="73"/>
    </row>
    <row r="265" spans="5:14" ht="11.25">
      <c r="E265" s="73"/>
      <c r="F265" s="73"/>
      <c r="G265" s="73"/>
      <c r="H265" s="73"/>
      <c r="I265" s="73"/>
      <c r="J265" s="73"/>
      <c r="K265" s="73"/>
      <c r="L265" s="73"/>
      <c r="M265" s="73"/>
      <c r="N265" s="73"/>
    </row>
    <row r="266" spans="5:14" ht="11.25">
      <c r="E266" s="73"/>
      <c r="F266" s="73"/>
      <c r="G266" s="73"/>
      <c r="H266" s="73"/>
      <c r="I266" s="73"/>
      <c r="J266" s="73"/>
      <c r="K266" s="73"/>
      <c r="L266" s="73"/>
      <c r="M266" s="73"/>
      <c r="N266" s="73"/>
    </row>
    <row r="267" spans="5:14" ht="11.25">
      <c r="E267" s="73"/>
      <c r="F267" s="73"/>
      <c r="G267" s="73"/>
      <c r="H267" s="73"/>
      <c r="I267" s="73"/>
      <c r="J267" s="73"/>
      <c r="K267" s="73"/>
      <c r="L267" s="73"/>
      <c r="M267" s="73"/>
      <c r="N267" s="73"/>
    </row>
    <row r="268" spans="5:14" ht="11.25">
      <c r="E268" s="73"/>
      <c r="F268" s="73"/>
      <c r="G268" s="73"/>
      <c r="H268" s="73"/>
      <c r="I268" s="73"/>
      <c r="J268" s="73"/>
      <c r="K268" s="73"/>
      <c r="L268" s="73"/>
      <c r="M268" s="73"/>
      <c r="N268" s="73"/>
    </row>
    <row r="269" spans="5:14" ht="11.25">
      <c r="E269" s="73"/>
      <c r="F269" s="73"/>
      <c r="G269" s="73"/>
      <c r="H269" s="73"/>
      <c r="I269" s="73"/>
      <c r="J269" s="73"/>
      <c r="K269" s="73"/>
      <c r="L269" s="73"/>
      <c r="M269" s="73"/>
      <c r="N269" s="73"/>
    </row>
    <row r="270" spans="5:14" ht="11.25"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5:14" ht="11.25"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5:14" ht="11.25">
      <c r="E272" s="73"/>
      <c r="F272" s="73"/>
      <c r="G272" s="73"/>
      <c r="H272" s="73"/>
      <c r="I272" s="73"/>
      <c r="J272" s="73"/>
      <c r="K272" s="73"/>
      <c r="L272" s="73"/>
      <c r="M272" s="73"/>
      <c r="N272" s="73"/>
    </row>
    <row r="273" spans="5:14" ht="11.25">
      <c r="E273" s="73"/>
      <c r="F273" s="73"/>
      <c r="G273" s="73"/>
      <c r="H273" s="73"/>
      <c r="I273" s="73"/>
      <c r="J273" s="73"/>
      <c r="K273" s="73"/>
      <c r="L273" s="73"/>
      <c r="M273" s="73"/>
      <c r="N273" s="73"/>
    </row>
    <row r="274" spans="5:14" ht="11.25"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5:14" ht="11.25"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5:14" ht="11.25">
      <c r="E276" s="73"/>
      <c r="F276" s="73"/>
      <c r="G276" s="73"/>
      <c r="H276" s="73"/>
      <c r="I276" s="73"/>
      <c r="J276" s="73"/>
      <c r="K276" s="73"/>
      <c r="L276" s="73"/>
      <c r="M276" s="73"/>
      <c r="N276" s="73"/>
    </row>
    <row r="277" spans="5:14" ht="11.25">
      <c r="E277" s="73"/>
      <c r="F277" s="73"/>
      <c r="G277" s="73"/>
      <c r="H277" s="73"/>
      <c r="I277" s="73"/>
      <c r="J277" s="73"/>
      <c r="K277" s="73"/>
      <c r="L277" s="73"/>
      <c r="M277" s="73"/>
      <c r="N277" s="73"/>
    </row>
    <row r="278" spans="5:14" ht="11.25"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5:14" ht="11.25">
      <c r="E279" s="73"/>
      <c r="F279" s="73"/>
      <c r="G279" s="73"/>
      <c r="H279" s="73"/>
      <c r="I279" s="73"/>
      <c r="J279" s="73"/>
      <c r="K279" s="73"/>
      <c r="L279" s="73"/>
      <c r="M279" s="73"/>
      <c r="N279" s="73"/>
    </row>
    <row r="280" spans="5:14" ht="11.25">
      <c r="E280" s="73"/>
      <c r="F280" s="73"/>
      <c r="G280" s="73"/>
      <c r="H280" s="73"/>
      <c r="I280" s="73"/>
      <c r="J280" s="73"/>
      <c r="K280" s="73"/>
      <c r="L280" s="73"/>
      <c r="M280" s="73"/>
      <c r="N280" s="73"/>
    </row>
    <row r="281" spans="5:14" ht="11.25"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5:14" ht="11.25">
      <c r="E282" s="73"/>
      <c r="F282" s="73"/>
      <c r="G282" s="73"/>
      <c r="H282" s="73"/>
      <c r="I282" s="73"/>
      <c r="J282" s="73"/>
      <c r="K282" s="73"/>
      <c r="L282" s="73"/>
      <c r="M282" s="73"/>
      <c r="N282" s="73"/>
    </row>
    <row r="283" spans="5:14" ht="11.25"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5:14" ht="11.25"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5:14" ht="11.25"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5:14" ht="11.25">
      <c r="E286" s="73"/>
      <c r="F286" s="73"/>
      <c r="G286" s="73"/>
      <c r="H286" s="73"/>
      <c r="I286" s="73"/>
      <c r="J286" s="73"/>
      <c r="K286" s="73"/>
      <c r="L286" s="73"/>
      <c r="M286" s="73"/>
      <c r="N286" s="73"/>
    </row>
    <row r="287" spans="5:14" ht="11.25">
      <c r="E287" s="73"/>
      <c r="F287" s="73"/>
      <c r="G287" s="73"/>
      <c r="H287" s="73"/>
      <c r="I287" s="73"/>
      <c r="J287" s="73"/>
      <c r="K287" s="73"/>
      <c r="L287" s="73"/>
      <c r="M287" s="73"/>
      <c r="N287" s="73"/>
    </row>
    <row r="288" spans="5:14" ht="11.25"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5:14" ht="11.25">
      <c r="E289" s="73"/>
      <c r="F289" s="73"/>
      <c r="G289" s="73"/>
      <c r="H289" s="73"/>
      <c r="I289" s="73"/>
      <c r="J289" s="73"/>
      <c r="K289" s="73"/>
      <c r="L289" s="73"/>
      <c r="M289" s="73"/>
      <c r="N289" s="73"/>
    </row>
    <row r="290" spans="5:14" ht="11.25">
      <c r="E290" s="73"/>
      <c r="F290" s="73"/>
      <c r="G290" s="73"/>
      <c r="H290" s="73"/>
      <c r="I290" s="73"/>
      <c r="J290" s="73"/>
      <c r="K290" s="73"/>
      <c r="L290" s="73"/>
      <c r="M290" s="73"/>
      <c r="N290" s="73"/>
    </row>
    <row r="291" spans="5:14" ht="11.25">
      <c r="E291" s="73"/>
      <c r="F291" s="73"/>
      <c r="G291" s="73"/>
      <c r="H291" s="73"/>
      <c r="I291" s="73"/>
      <c r="J291" s="73"/>
      <c r="K291" s="73"/>
      <c r="L291" s="73"/>
      <c r="M291" s="73"/>
      <c r="N291" s="73"/>
    </row>
    <row r="292" spans="5:14" ht="11.25">
      <c r="E292" s="73"/>
      <c r="F292" s="73"/>
      <c r="G292" s="73"/>
      <c r="H292" s="73"/>
      <c r="I292" s="73"/>
      <c r="J292" s="73"/>
      <c r="K292" s="73"/>
      <c r="L292" s="73"/>
      <c r="M292" s="73"/>
      <c r="N292" s="73"/>
    </row>
    <row r="293" spans="5:14" ht="11.25">
      <c r="E293" s="73"/>
      <c r="F293" s="73"/>
      <c r="G293" s="73"/>
      <c r="H293" s="73"/>
      <c r="I293" s="73"/>
      <c r="J293" s="73"/>
      <c r="K293" s="73"/>
      <c r="L293" s="73"/>
      <c r="M293" s="73"/>
      <c r="N293" s="73"/>
    </row>
    <row r="294" spans="5:14" ht="11.25">
      <c r="E294" s="73"/>
      <c r="F294" s="73"/>
      <c r="G294" s="73"/>
      <c r="H294" s="73"/>
      <c r="I294" s="73"/>
      <c r="J294" s="73"/>
      <c r="K294" s="73"/>
      <c r="L294" s="73"/>
      <c r="M294" s="73"/>
      <c r="N294" s="73"/>
    </row>
    <row r="295" spans="5:14" ht="11.25">
      <c r="E295" s="73"/>
      <c r="F295" s="73"/>
      <c r="G295" s="73"/>
      <c r="H295" s="73"/>
      <c r="I295" s="73"/>
      <c r="J295" s="73"/>
      <c r="K295" s="73"/>
      <c r="L295" s="73"/>
      <c r="M295" s="73"/>
      <c r="N295" s="73"/>
    </row>
    <row r="296" spans="5:14" ht="11.25">
      <c r="E296" s="73"/>
      <c r="F296" s="73"/>
      <c r="G296" s="73"/>
      <c r="H296" s="73"/>
      <c r="I296" s="73"/>
      <c r="J296" s="73"/>
      <c r="K296" s="73"/>
      <c r="L296" s="73"/>
      <c r="M296" s="73"/>
      <c r="N296" s="73"/>
    </row>
    <row r="297" spans="5:14" ht="11.25">
      <c r="E297" s="73"/>
      <c r="F297" s="73"/>
      <c r="G297" s="73"/>
      <c r="H297" s="73"/>
      <c r="I297" s="73"/>
      <c r="J297" s="73"/>
      <c r="K297" s="73"/>
      <c r="L297" s="73"/>
      <c r="M297" s="73"/>
      <c r="N297" s="73"/>
    </row>
    <row r="298" spans="5:14" ht="11.25">
      <c r="E298" s="73"/>
      <c r="F298" s="73"/>
      <c r="G298" s="73"/>
      <c r="H298" s="73"/>
      <c r="I298" s="73"/>
      <c r="J298" s="73"/>
      <c r="K298" s="73"/>
      <c r="L298" s="73"/>
      <c r="M298" s="73"/>
      <c r="N298" s="73"/>
    </row>
    <row r="299" spans="5:14" ht="11.25"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5:14" ht="11.25"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5:14" ht="11.25"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5:14" ht="11.25"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5:14" ht="11.25"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5:14" ht="11.25"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5:14" ht="11.25"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5:14" ht="11.25"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  <row r="307" spans="5:14" ht="11.25">
      <c r="E307" s="73"/>
      <c r="F307" s="73"/>
      <c r="G307" s="73"/>
      <c r="H307" s="73"/>
      <c r="I307" s="73"/>
      <c r="J307" s="73"/>
      <c r="K307" s="73"/>
      <c r="L307" s="73"/>
      <c r="M307" s="73"/>
      <c r="N307" s="73"/>
    </row>
    <row r="308" spans="5:14" ht="11.25">
      <c r="E308" s="73"/>
      <c r="F308" s="73"/>
      <c r="G308" s="73"/>
      <c r="H308" s="73"/>
      <c r="I308" s="73"/>
      <c r="J308" s="73"/>
      <c r="K308" s="73"/>
      <c r="L308" s="73"/>
      <c r="M308" s="73"/>
      <c r="N308" s="73"/>
    </row>
    <row r="309" spans="5:14" ht="11.25">
      <c r="E309" s="73"/>
      <c r="F309" s="73"/>
      <c r="G309" s="73"/>
      <c r="H309" s="73"/>
      <c r="I309" s="73"/>
      <c r="J309" s="73"/>
      <c r="K309" s="73"/>
      <c r="L309" s="73"/>
      <c r="M309" s="73"/>
      <c r="N309" s="73"/>
    </row>
    <row r="310" spans="5:14" ht="11.25">
      <c r="E310" s="73"/>
      <c r="F310" s="73"/>
      <c r="G310" s="73"/>
      <c r="H310" s="73"/>
      <c r="I310" s="73"/>
      <c r="J310" s="73"/>
      <c r="K310" s="73"/>
      <c r="L310" s="73"/>
      <c r="M310" s="73"/>
      <c r="N310" s="73"/>
    </row>
    <row r="311" spans="5:14" ht="11.25">
      <c r="E311" s="73"/>
      <c r="F311" s="73"/>
      <c r="G311" s="73"/>
      <c r="H311" s="73"/>
      <c r="I311" s="73"/>
      <c r="J311" s="73"/>
      <c r="K311" s="73"/>
      <c r="L311" s="73"/>
      <c r="M311" s="73"/>
      <c r="N311" s="73"/>
    </row>
    <row r="312" spans="5:14" ht="11.25">
      <c r="E312" s="73"/>
      <c r="F312" s="73"/>
      <c r="G312" s="73"/>
      <c r="H312" s="73"/>
      <c r="I312" s="73"/>
      <c r="J312" s="73"/>
      <c r="K312" s="73"/>
      <c r="L312" s="73"/>
      <c r="M312" s="73"/>
      <c r="N312" s="73"/>
    </row>
    <row r="313" spans="5:14" ht="11.25">
      <c r="E313" s="73"/>
      <c r="F313" s="73"/>
      <c r="G313" s="73"/>
      <c r="H313" s="73"/>
      <c r="I313" s="73"/>
      <c r="J313" s="73"/>
      <c r="K313" s="73"/>
      <c r="L313" s="73"/>
      <c r="M313" s="73"/>
      <c r="N313" s="73"/>
    </row>
    <row r="314" spans="5:14" ht="11.25">
      <c r="E314" s="73"/>
      <c r="F314" s="73"/>
      <c r="G314" s="73"/>
      <c r="H314" s="73"/>
      <c r="I314" s="73"/>
      <c r="J314" s="73"/>
      <c r="K314" s="73"/>
      <c r="L314" s="73"/>
      <c r="M314" s="73"/>
      <c r="N314" s="73"/>
    </row>
    <row r="315" spans="5:14" ht="11.25">
      <c r="E315" s="73"/>
      <c r="F315" s="73"/>
      <c r="G315" s="73"/>
      <c r="H315" s="73"/>
      <c r="I315" s="73"/>
      <c r="J315" s="73"/>
      <c r="K315" s="73"/>
      <c r="L315" s="73"/>
      <c r="M315" s="73"/>
      <c r="N315" s="73"/>
    </row>
    <row r="316" spans="5:14" ht="11.25">
      <c r="E316" s="73"/>
      <c r="F316" s="73"/>
      <c r="G316" s="73"/>
      <c r="H316" s="73"/>
      <c r="I316" s="73"/>
      <c r="J316" s="73"/>
      <c r="K316" s="73"/>
      <c r="L316" s="73"/>
      <c r="M316" s="73"/>
      <c r="N316" s="73"/>
    </row>
    <row r="317" spans="5:14" ht="11.25">
      <c r="E317" s="73"/>
      <c r="F317" s="73"/>
      <c r="G317" s="73"/>
      <c r="H317" s="73"/>
      <c r="I317" s="73"/>
      <c r="J317" s="73"/>
      <c r="K317" s="73"/>
      <c r="L317" s="73"/>
      <c r="M317" s="73"/>
      <c r="N317" s="73"/>
    </row>
    <row r="318" spans="5:14" ht="11.25">
      <c r="E318" s="73"/>
      <c r="F318" s="73"/>
      <c r="G318" s="73"/>
      <c r="H318" s="73"/>
      <c r="I318" s="73"/>
      <c r="J318" s="73"/>
      <c r="K318" s="73"/>
      <c r="L318" s="73"/>
      <c r="M318" s="73"/>
      <c r="N318" s="73"/>
    </row>
    <row r="319" spans="5:14" ht="11.25">
      <c r="E319" s="73"/>
      <c r="F319" s="73"/>
      <c r="G319" s="73"/>
      <c r="H319" s="73"/>
      <c r="I319" s="73"/>
      <c r="J319" s="73"/>
      <c r="K319" s="73"/>
      <c r="L319" s="73"/>
      <c r="M319" s="73"/>
      <c r="N319" s="73"/>
    </row>
    <row r="320" spans="5:14" ht="11.25"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5:14" ht="11.25">
      <c r="E321" s="73"/>
      <c r="F321" s="73"/>
      <c r="G321" s="73"/>
      <c r="H321" s="73"/>
      <c r="I321" s="73"/>
      <c r="J321" s="73"/>
      <c r="K321" s="73"/>
      <c r="L321" s="73"/>
      <c r="M321" s="73"/>
      <c r="N321" s="73"/>
    </row>
    <row r="322" spans="5:14" ht="11.25">
      <c r="E322" s="73"/>
      <c r="F322" s="73"/>
      <c r="G322" s="73"/>
      <c r="H322" s="73"/>
      <c r="I322" s="73"/>
      <c r="J322" s="73"/>
      <c r="K322" s="73"/>
      <c r="L322" s="73"/>
      <c r="M322" s="73"/>
      <c r="N322" s="73"/>
    </row>
    <row r="323" spans="5:14" ht="11.25">
      <c r="E323" s="73"/>
      <c r="F323" s="73"/>
      <c r="G323" s="73"/>
      <c r="H323" s="73"/>
      <c r="I323" s="73"/>
      <c r="J323" s="73"/>
      <c r="K323" s="73"/>
      <c r="L323" s="73"/>
      <c r="M323" s="73"/>
      <c r="N323" s="73"/>
    </row>
    <row r="324" spans="5:14" ht="11.25">
      <c r="E324" s="73"/>
      <c r="F324" s="73"/>
      <c r="G324" s="73"/>
      <c r="H324" s="73"/>
      <c r="I324" s="73"/>
      <c r="J324" s="73"/>
      <c r="K324" s="73"/>
      <c r="L324" s="73"/>
      <c r="M324" s="73"/>
      <c r="N324" s="73"/>
    </row>
    <row r="325" spans="5:14" ht="11.25">
      <c r="E325" s="73"/>
      <c r="F325" s="73"/>
      <c r="G325" s="73"/>
      <c r="H325" s="73"/>
      <c r="I325" s="73"/>
      <c r="J325" s="73"/>
      <c r="K325" s="73"/>
      <c r="L325" s="73"/>
      <c r="M325" s="73"/>
      <c r="N325" s="73"/>
    </row>
    <row r="326" spans="5:14" ht="11.25">
      <c r="E326" s="73"/>
      <c r="F326" s="73"/>
      <c r="G326" s="73"/>
      <c r="H326" s="73"/>
      <c r="I326" s="73"/>
      <c r="J326" s="73"/>
      <c r="K326" s="73"/>
      <c r="L326" s="73"/>
      <c r="M326" s="73"/>
      <c r="N326" s="73"/>
    </row>
    <row r="327" spans="5:14" ht="11.25">
      <c r="E327" s="73"/>
      <c r="F327" s="73"/>
      <c r="G327" s="73"/>
      <c r="H327" s="73"/>
      <c r="I327" s="73"/>
      <c r="J327" s="73"/>
      <c r="K327" s="73"/>
      <c r="L327" s="73"/>
      <c r="M327" s="73"/>
      <c r="N327" s="73"/>
    </row>
    <row r="328" spans="5:14" ht="11.25">
      <c r="E328" s="73"/>
      <c r="F328" s="73"/>
      <c r="G328" s="73"/>
      <c r="H328" s="73"/>
      <c r="I328" s="73"/>
      <c r="J328" s="73"/>
      <c r="K328" s="73"/>
      <c r="L328" s="73"/>
      <c r="M328" s="73"/>
      <c r="N328" s="73"/>
    </row>
    <row r="329" spans="5:14" ht="11.25">
      <c r="E329" s="73"/>
      <c r="F329" s="73"/>
      <c r="G329" s="73"/>
      <c r="H329" s="73"/>
      <c r="I329" s="73"/>
      <c r="J329" s="73"/>
      <c r="K329" s="73"/>
      <c r="L329" s="73"/>
      <c r="M329" s="73"/>
      <c r="N329" s="73"/>
    </row>
    <row r="330" spans="5:14" ht="11.25">
      <c r="E330" s="73"/>
      <c r="F330" s="73"/>
      <c r="G330" s="73"/>
      <c r="H330" s="73"/>
      <c r="I330" s="73"/>
      <c r="J330" s="73"/>
      <c r="K330" s="73"/>
      <c r="L330" s="73"/>
      <c r="M330" s="73"/>
      <c r="N330" s="73"/>
    </row>
    <row r="331" spans="5:14" ht="11.25">
      <c r="E331" s="73"/>
      <c r="F331" s="73"/>
      <c r="G331" s="73"/>
      <c r="H331" s="73"/>
      <c r="I331" s="73"/>
      <c r="J331" s="73"/>
      <c r="K331" s="73"/>
      <c r="L331" s="73"/>
      <c r="M331" s="73"/>
      <c r="N331" s="73"/>
    </row>
    <row r="332" spans="5:14" ht="11.25">
      <c r="E332" s="73"/>
      <c r="F332" s="73"/>
      <c r="G332" s="73"/>
      <c r="H332" s="73"/>
      <c r="I332" s="73"/>
      <c r="J332" s="73"/>
      <c r="K332" s="73"/>
      <c r="L332" s="73"/>
      <c r="M332" s="73"/>
      <c r="N332" s="73"/>
    </row>
    <row r="333" spans="5:14" ht="11.25">
      <c r="E333" s="73"/>
      <c r="F333" s="73"/>
      <c r="G333" s="73"/>
      <c r="H333" s="73"/>
      <c r="I333" s="73"/>
      <c r="J333" s="73"/>
      <c r="K333" s="73"/>
      <c r="L333" s="73"/>
      <c r="M333" s="73"/>
      <c r="N333" s="73"/>
    </row>
    <row r="334" spans="5:14" ht="11.25">
      <c r="E334" s="73"/>
      <c r="F334" s="73"/>
      <c r="G334" s="73"/>
      <c r="H334" s="73"/>
      <c r="I334" s="73"/>
      <c r="J334" s="73"/>
      <c r="K334" s="73"/>
      <c r="L334" s="73"/>
      <c r="M334" s="73"/>
      <c r="N334" s="73"/>
    </row>
    <row r="335" spans="5:14" ht="11.25">
      <c r="E335" s="73"/>
      <c r="F335" s="73"/>
      <c r="G335" s="73"/>
      <c r="H335" s="73"/>
      <c r="I335" s="73"/>
      <c r="J335" s="73"/>
      <c r="K335" s="73"/>
      <c r="L335" s="73"/>
      <c r="M335" s="73"/>
      <c r="N335" s="73"/>
    </row>
    <row r="336" spans="5:14" ht="11.25">
      <c r="E336" s="73"/>
      <c r="F336" s="73"/>
      <c r="G336" s="73"/>
      <c r="H336" s="73"/>
      <c r="I336" s="73"/>
      <c r="J336" s="73"/>
      <c r="K336" s="73"/>
      <c r="L336" s="73"/>
      <c r="M336" s="73"/>
      <c r="N336" s="73"/>
    </row>
    <row r="337" spans="5:14" ht="11.25">
      <c r="E337" s="73"/>
      <c r="F337" s="73"/>
      <c r="G337" s="73"/>
      <c r="H337" s="73"/>
      <c r="I337" s="73"/>
      <c r="J337" s="73"/>
      <c r="K337" s="73"/>
      <c r="L337" s="73"/>
      <c r="M337" s="73"/>
      <c r="N337" s="73"/>
    </row>
    <row r="338" spans="5:14" ht="11.25">
      <c r="E338" s="73"/>
      <c r="F338" s="73"/>
      <c r="G338" s="73"/>
      <c r="H338" s="73"/>
      <c r="I338" s="73"/>
      <c r="J338" s="73"/>
      <c r="K338" s="73"/>
      <c r="L338" s="73"/>
      <c r="M338" s="73"/>
      <c r="N338" s="73"/>
    </row>
    <row r="339" spans="5:14" ht="11.25">
      <c r="E339" s="73"/>
      <c r="F339" s="73"/>
      <c r="G339" s="73"/>
      <c r="H339" s="73"/>
      <c r="I339" s="73"/>
      <c r="J339" s="73"/>
      <c r="K339" s="73"/>
      <c r="L339" s="73"/>
      <c r="M339" s="73"/>
      <c r="N339" s="73"/>
    </row>
    <row r="340" spans="5:14" ht="11.25">
      <c r="E340" s="73"/>
      <c r="F340" s="73"/>
      <c r="G340" s="73"/>
      <c r="H340" s="73"/>
      <c r="I340" s="73"/>
      <c r="J340" s="73"/>
      <c r="K340" s="73"/>
      <c r="L340" s="73"/>
      <c r="M340" s="73"/>
      <c r="N340" s="73"/>
    </row>
    <row r="341" spans="5:14" ht="11.25"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5:14" ht="11.25">
      <c r="E342" s="73"/>
      <c r="F342" s="73"/>
      <c r="G342" s="73"/>
      <c r="H342" s="73"/>
      <c r="I342" s="73"/>
      <c r="J342" s="73"/>
      <c r="K342" s="73"/>
      <c r="L342" s="73"/>
      <c r="M342" s="73"/>
      <c r="N342" s="73"/>
    </row>
    <row r="343" spans="5:14" ht="11.25">
      <c r="E343" s="73"/>
      <c r="F343" s="73"/>
      <c r="G343" s="73"/>
      <c r="H343" s="73"/>
      <c r="I343" s="73"/>
      <c r="J343" s="73"/>
      <c r="K343" s="73"/>
      <c r="L343" s="73"/>
      <c r="M343" s="73"/>
      <c r="N343" s="73"/>
    </row>
    <row r="344" spans="5:14" ht="11.25">
      <c r="E344" s="73"/>
      <c r="F344" s="73"/>
      <c r="G344" s="73"/>
      <c r="H344" s="73"/>
      <c r="I344" s="73"/>
      <c r="J344" s="73"/>
      <c r="K344" s="73"/>
      <c r="L344" s="73"/>
      <c r="M344" s="73"/>
      <c r="N344" s="73"/>
    </row>
    <row r="345" spans="5:14" ht="11.25">
      <c r="E345" s="73"/>
      <c r="F345" s="73"/>
      <c r="G345" s="73"/>
      <c r="H345" s="73"/>
      <c r="I345" s="73"/>
      <c r="J345" s="73"/>
      <c r="K345" s="73"/>
      <c r="L345" s="73"/>
      <c r="M345" s="73"/>
      <c r="N345" s="73"/>
    </row>
    <row r="346" spans="5:14" ht="11.25">
      <c r="E346" s="73"/>
      <c r="F346" s="73"/>
      <c r="G346" s="73"/>
      <c r="H346" s="73"/>
      <c r="I346" s="73"/>
      <c r="J346" s="73"/>
      <c r="K346" s="73"/>
      <c r="L346" s="73"/>
      <c r="M346" s="73"/>
      <c r="N346" s="73"/>
    </row>
    <row r="347" spans="5:14" ht="11.25">
      <c r="E347" s="73"/>
      <c r="F347" s="73"/>
      <c r="G347" s="73"/>
      <c r="H347" s="73"/>
      <c r="I347" s="73"/>
      <c r="J347" s="73"/>
      <c r="K347" s="73"/>
      <c r="L347" s="73"/>
      <c r="M347" s="73"/>
      <c r="N347" s="73"/>
    </row>
    <row r="348" spans="5:14" ht="11.25">
      <c r="E348" s="73"/>
      <c r="F348" s="73"/>
      <c r="G348" s="73"/>
      <c r="H348" s="73"/>
      <c r="I348" s="73"/>
      <c r="J348" s="73"/>
      <c r="K348" s="73"/>
      <c r="L348" s="73"/>
      <c r="M348" s="73"/>
      <c r="N348" s="73"/>
    </row>
    <row r="349" spans="5:14" ht="11.25">
      <c r="E349" s="73"/>
      <c r="F349" s="73"/>
      <c r="G349" s="73"/>
      <c r="H349" s="73"/>
      <c r="I349" s="73"/>
      <c r="J349" s="73"/>
      <c r="K349" s="73"/>
      <c r="L349" s="73"/>
      <c r="M349" s="73"/>
      <c r="N349" s="73"/>
    </row>
    <row r="350" spans="5:14" ht="11.25">
      <c r="E350" s="73"/>
      <c r="F350" s="73"/>
      <c r="G350" s="73"/>
      <c r="H350" s="73"/>
      <c r="I350" s="73"/>
      <c r="J350" s="73"/>
      <c r="K350" s="73"/>
      <c r="L350" s="73"/>
      <c r="M350" s="73"/>
      <c r="N350" s="73"/>
    </row>
    <row r="351" spans="5:14" ht="11.25">
      <c r="E351" s="73"/>
      <c r="F351" s="73"/>
      <c r="G351" s="73"/>
      <c r="H351" s="73"/>
      <c r="I351" s="73"/>
      <c r="J351" s="73"/>
      <c r="K351" s="73"/>
      <c r="L351" s="73"/>
      <c r="M351" s="73"/>
      <c r="N351" s="73"/>
    </row>
    <row r="352" spans="5:14" ht="11.25">
      <c r="E352" s="73"/>
      <c r="F352" s="73"/>
      <c r="G352" s="73"/>
      <c r="H352" s="73"/>
      <c r="I352" s="73"/>
      <c r="J352" s="73"/>
      <c r="K352" s="73"/>
      <c r="L352" s="73"/>
      <c r="M352" s="73"/>
      <c r="N352" s="73"/>
    </row>
    <row r="353" spans="5:14" ht="11.25">
      <c r="E353" s="73"/>
      <c r="F353" s="73"/>
      <c r="G353" s="73"/>
      <c r="H353" s="73"/>
      <c r="I353" s="73"/>
      <c r="J353" s="73"/>
      <c r="K353" s="73"/>
      <c r="L353" s="73"/>
      <c r="M353" s="73"/>
      <c r="N353" s="73"/>
    </row>
    <row r="354" spans="5:14" ht="11.25">
      <c r="E354" s="73"/>
      <c r="F354" s="73"/>
      <c r="G354" s="73"/>
      <c r="H354" s="73"/>
      <c r="I354" s="73"/>
      <c r="J354" s="73"/>
      <c r="K354" s="73"/>
      <c r="L354" s="73"/>
      <c r="M354" s="73"/>
      <c r="N354" s="73"/>
    </row>
    <row r="355" spans="5:14" ht="11.25">
      <c r="E355" s="73"/>
      <c r="F355" s="73"/>
      <c r="G355" s="73"/>
      <c r="H355" s="73"/>
      <c r="I355" s="73"/>
      <c r="J355" s="73"/>
      <c r="K355" s="73"/>
      <c r="L355" s="73"/>
      <c r="M355" s="73"/>
      <c r="N355" s="73"/>
    </row>
    <row r="356" spans="5:14" ht="11.25">
      <c r="E356" s="73"/>
      <c r="F356" s="73"/>
      <c r="G356" s="73"/>
      <c r="H356" s="73"/>
      <c r="I356" s="73"/>
      <c r="J356" s="73"/>
      <c r="K356" s="73"/>
      <c r="L356" s="73"/>
      <c r="M356" s="73"/>
      <c r="N356" s="73"/>
    </row>
    <row r="357" spans="5:14" ht="11.25">
      <c r="E357" s="73"/>
      <c r="F357" s="73"/>
      <c r="G357" s="73"/>
      <c r="H357" s="73"/>
      <c r="I357" s="73"/>
      <c r="J357" s="73"/>
      <c r="K357" s="73"/>
      <c r="L357" s="73"/>
      <c r="M357" s="73"/>
      <c r="N357" s="73"/>
    </row>
    <row r="358" spans="5:14" ht="11.25">
      <c r="E358" s="73"/>
      <c r="F358" s="73"/>
      <c r="G358" s="73"/>
      <c r="H358" s="73"/>
      <c r="I358" s="73"/>
      <c r="J358" s="73"/>
      <c r="K358" s="73"/>
      <c r="L358" s="73"/>
      <c r="M358" s="73"/>
      <c r="N358" s="73"/>
    </row>
    <row r="359" spans="5:14" ht="11.25">
      <c r="E359" s="73"/>
      <c r="F359" s="73"/>
      <c r="G359" s="73"/>
      <c r="H359" s="73"/>
      <c r="I359" s="73"/>
      <c r="J359" s="73"/>
      <c r="K359" s="73"/>
      <c r="L359" s="73"/>
      <c r="M359" s="73"/>
      <c r="N359" s="73"/>
    </row>
    <row r="360" spans="5:14" ht="11.25">
      <c r="E360" s="73"/>
      <c r="F360" s="73"/>
      <c r="G360" s="73"/>
      <c r="H360" s="73"/>
      <c r="I360" s="73"/>
      <c r="J360" s="73"/>
      <c r="K360" s="73"/>
      <c r="L360" s="73"/>
      <c r="M360" s="73"/>
      <c r="N360" s="73"/>
    </row>
    <row r="361" spans="5:14" ht="11.25">
      <c r="E361" s="73"/>
      <c r="F361" s="73"/>
      <c r="G361" s="73"/>
      <c r="H361" s="73"/>
      <c r="I361" s="73"/>
      <c r="J361" s="73"/>
      <c r="K361" s="73"/>
      <c r="L361" s="73"/>
      <c r="M361" s="73"/>
      <c r="N361" s="73"/>
    </row>
    <row r="362" spans="5:14" ht="11.25">
      <c r="E362" s="73"/>
      <c r="F362" s="73"/>
      <c r="G362" s="73"/>
      <c r="H362" s="73"/>
      <c r="I362" s="73"/>
      <c r="J362" s="73"/>
      <c r="K362" s="73"/>
      <c r="L362" s="73"/>
      <c r="M362" s="73"/>
      <c r="N362" s="73"/>
    </row>
    <row r="363" spans="5:14" ht="11.25">
      <c r="E363" s="73"/>
      <c r="F363" s="73"/>
      <c r="G363" s="73"/>
      <c r="H363" s="73"/>
      <c r="I363" s="73"/>
      <c r="J363" s="73"/>
      <c r="K363" s="73"/>
      <c r="L363" s="73"/>
      <c r="M363" s="73"/>
      <c r="N363" s="73"/>
    </row>
    <row r="364" spans="5:14" ht="11.25">
      <c r="E364" s="73"/>
      <c r="F364" s="73"/>
      <c r="G364" s="73"/>
      <c r="H364" s="73"/>
      <c r="I364" s="73"/>
      <c r="J364" s="73"/>
      <c r="K364" s="73"/>
      <c r="L364" s="73"/>
      <c r="M364" s="73"/>
      <c r="N364" s="73"/>
    </row>
    <row r="365" spans="5:14" ht="11.25">
      <c r="E365" s="73"/>
      <c r="F365" s="73"/>
      <c r="G365" s="73"/>
      <c r="H365" s="73"/>
      <c r="I365" s="73"/>
      <c r="J365" s="73"/>
      <c r="K365" s="73"/>
      <c r="L365" s="73"/>
      <c r="M365" s="73"/>
      <c r="N365" s="73"/>
    </row>
    <row r="366" spans="5:14" ht="11.25">
      <c r="E366" s="73"/>
      <c r="F366" s="73"/>
      <c r="G366" s="73"/>
      <c r="H366" s="73"/>
      <c r="I366" s="73"/>
      <c r="J366" s="73"/>
      <c r="K366" s="73"/>
      <c r="L366" s="73"/>
      <c r="M366" s="73"/>
      <c r="N366" s="73"/>
    </row>
    <row r="367" spans="5:14" ht="11.25">
      <c r="E367" s="73"/>
      <c r="F367" s="73"/>
      <c r="G367" s="73"/>
      <c r="H367" s="73"/>
      <c r="I367" s="73"/>
      <c r="J367" s="73"/>
      <c r="K367" s="73"/>
      <c r="L367" s="73"/>
      <c r="M367" s="73"/>
      <c r="N367" s="73"/>
    </row>
    <row r="368" spans="5:14" ht="11.25">
      <c r="E368" s="73"/>
      <c r="F368" s="73"/>
      <c r="G368" s="73"/>
      <c r="H368" s="73"/>
      <c r="I368" s="73"/>
      <c r="J368" s="73"/>
      <c r="K368" s="73"/>
      <c r="L368" s="73"/>
      <c r="M368" s="73"/>
      <c r="N368" s="73"/>
    </row>
    <row r="369" spans="5:14" ht="11.25">
      <c r="E369" s="73"/>
      <c r="F369" s="73"/>
      <c r="G369" s="73"/>
      <c r="H369" s="73"/>
      <c r="I369" s="73"/>
      <c r="J369" s="73"/>
      <c r="K369" s="73"/>
      <c r="L369" s="73"/>
      <c r="M369" s="73"/>
      <c r="N369" s="73"/>
    </row>
    <row r="370" spans="5:14" ht="11.25">
      <c r="E370" s="73"/>
      <c r="F370" s="73"/>
      <c r="G370" s="73"/>
      <c r="H370" s="73"/>
      <c r="I370" s="73"/>
      <c r="J370" s="73"/>
      <c r="K370" s="73"/>
      <c r="L370" s="73"/>
      <c r="M370" s="73"/>
      <c r="N370" s="73"/>
    </row>
    <row r="371" spans="5:14" ht="11.25">
      <c r="E371" s="73"/>
      <c r="F371" s="73"/>
      <c r="G371" s="73"/>
      <c r="H371" s="73"/>
      <c r="I371" s="73"/>
      <c r="J371" s="73"/>
      <c r="K371" s="73"/>
      <c r="L371" s="73"/>
      <c r="M371" s="73"/>
      <c r="N371" s="73"/>
    </row>
    <row r="372" spans="5:14" ht="11.25">
      <c r="E372" s="73"/>
      <c r="F372" s="73"/>
      <c r="G372" s="73"/>
      <c r="H372" s="73"/>
      <c r="I372" s="73"/>
      <c r="J372" s="73"/>
      <c r="K372" s="73"/>
      <c r="L372" s="73"/>
      <c r="M372" s="73"/>
      <c r="N372" s="73"/>
    </row>
    <row r="373" spans="5:14" ht="11.25">
      <c r="E373" s="73"/>
      <c r="F373" s="73"/>
      <c r="G373" s="73"/>
      <c r="H373" s="73"/>
      <c r="I373" s="73"/>
      <c r="J373" s="73"/>
      <c r="K373" s="73"/>
      <c r="L373" s="73"/>
      <c r="M373" s="73"/>
      <c r="N373" s="73"/>
    </row>
    <row r="374" spans="5:14" ht="11.25">
      <c r="E374" s="73"/>
      <c r="F374" s="73"/>
      <c r="G374" s="73"/>
      <c r="H374" s="73"/>
      <c r="I374" s="73"/>
      <c r="J374" s="73"/>
      <c r="K374" s="73"/>
      <c r="L374" s="73"/>
      <c r="M374" s="73"/>
      <c r="N374" s="73"/>
    </row>
    <row r="375" spans="5:14" ht="11.25">
      <c r="E375" s="73"/>
      <c r="F375" s="73"/>
      <c r="G375" s="73"/>
      <c r="H375" s="73"/>
      <c r="I375" s="73"/>
      <c r="J375" s="73"/>
      <c r="K375" s="73"/>
      <c r="L375" s="73"/>
      <c r="M375" s="73"/>
      <c r="N375" s="73"/>
    </row>
    <row r="376" spans="5:14" ht="11.25">
      <c r="E376" s="73"/>
      <c r="F376" s="73"/>
      <c r="G376" s="73"/>
      <c r="H376" s="73"/>
      <c r="I376" s="73"/>
      <c r="J376" s="73"/>
      <c r="K376" s="73"/>
      <c r="L376" s="73"/>
      <c r="M376" s="73"/>
      <c r="N376" s="73"/>
    </row>
    <row r="377" spans="5:14" ht="11.25">
      <c r="E377" s="73"/>
      <c r="F377" s="73"/>
      <c r="G377" s="73"/>
      <c r="H377" s="73"/>
      <c r="I377" s="73"/>
      <c r="J377" s="73"/>
      <c r="K377" s="73"/>
      <c r="L377" s="73"/>
      <c r="M377" s="73"/>
      <c r="N377" s="73"/>
    </row>
    <row r="378" spans="5:14" ht="11.25">
      <c r="E378" s="73"/>
      <c r="F378" s="73"/>
      <c r="G378" s="73"/>
      <c r="H378" s="73"/>
      <c r="I378" s="73"/>
      <c r="J378" s="73"/>
      <c r="K378" s="73"/>
      <c r="L378" s="73"/>
      <c r="M378" s="73"/>
      <c r="N378" s="73"/>
    </row>
    <row r="379" spans="5:14" ht="11.25">
      <c r="E379" s="73"/>
      <c r="F379" s="73"/>
      <c r="G379" s="73"/>
      <c r="H379" s="73"/>
      <c r="I379" s="73"/>
      <c r="J379" s="73"/>
      <c r="K379" s="73"/>
      <c r="L379" s="73"/>
      <c r="M379" s="73"/>
      <c r="N379" s="73"/>
    </row>
    <row r="380" spans="5:14" ht="11.25">
      <c r="E380" s="73"/>
      <c r="F380" s="73"/>
      <c r="G380" s="73"/>
      <c r="H380" s="73"/>
      <c r="I380" s="73"/>
      <c r="J380" s="73"/>
      <c r="K380" s="73"/>
      <c r="L380" s="73"/>
      <c r="M380" s="73"/>
      <c r="N380" s="73"/>
    </row>
    <row r="381" spans="5:14" ht="11.25">
      <c r="E381" s="73"/>
      <c r="F381" s="73"/>
      <c r="G381" s="73"/>
      <c r="H381" s="73"/>
      <c r="I381" s="73"/>
      <c r="J381" s="73"/>
      <c r="K381" s="73"/>
      <c r="L381" s="73"/>
      <c r="M381" s="73"/>
      <c r="N381" s="73"/>
    </row>
    <row r="382" spans="5:14" ht="11.25">
      <c r="E382" s="73"/>
      <c r="F382" s="73"/>
      <c r="G382" s="73"/>
      <c r="H382" s="73"/>
      <c r="I382" s="73"/>
      <c r="J382" s="73"/>
      <c r="K382" s="73"/>
      <c r="L382" s="73"/>
      <c r="M382" s="73"/>
      <c r="N382" s="73"/>
    </row>
    <row r="383" spans="5:14" ht="11.25">
      <c r="E383" s="73"/>
      <c r="F383" s="73"/>
      <c r="G383" s="73"/>
      <c r="H383" s="73"/>
      <c r="I383" s="73"/>
      <c r="J383" s="73"/>
      <c r="K383" s="73"/>
      <c r="L383" s="73"/>
      <c r="M383" s="73"/>
      <c r="N383" s="73"/>
    </row>
    <row r="384" spans="5:14" ht="11.25">
      <c r="E384" s="73"/>
      <c r="F384" s="73"/>
      <c r="G384" s="73"/>
      <c r="H384" s="73"/>
      <c r="I384" s="73"/>
      <c r="J384" s="73"/>
      <c r="K384" s="73"/>
      <c r="L384" s="73"/>
      <c r="M384" s="73"/>
      <c r="N384" s="73"/>
    </row>
    <row r="385" spans="5:14" ht="11.25">
      <c r="E385" s="73"/>
      <c r="F385" s="73"/>
      <c r="G385" s="73"/>
      <c r="H385" s="73"/>
      <c r="I385" s="73"/>
      <c r="J385" s="73"/>
      <c r="K385" s="73"/>
      <c r="L385" s="73"/>
      <c r="M385" s="73"/>
      <c r="N385" s="73"/>
    </row>
    <row r="386" spans="5:14" ht="11.25">
      <c r="E386" s="73"/>
      <c r="F386" s="73"/>
      <c r="G386" s="73"/>
      <c r="H386" s="73"/>
      <c r="I386" s="73"/>
      <c r="J386" s="73"/>
      <c r="K386" s="73"/>
      <c r="L386" s="73"/>
      <c r="M386" s="73"/>
      <c r="N386" s="73"/>
    </row>
    <row r="387" spans="5:14" ht="11.25">
      <c r="E387" s="73"/>
      <c r="F387" s="73"/>
      <c r="G387" s="73"/>
      <c r="H387" s="73"/>
      <c r="I387" s="73"/>
      <c r="J387" s="73"/>
      <c r="K387" s="73"/>
      <c r="L387" s="73"/>
      <c r="M387" s="73"/>
      <c r="N387" s="73"/>
    </row>
    <row r="388" spans="5:14" ht="11.25">
      <c r="E388" s="73"/>
      <c r="F388" s="73"/>
      <c r="G388" s="73"/>
      <c r="H388" s="73"/>
      <c r="I388" s="73"/>
      <c r="J388" s="73"/>
      <c r="K388" s="73"/>
      <c r="L388" s="73"/>
      <c r="M388" s="73"/>
      <c r="N388" s="73"/>
    </row>
    <row r="389" spans="5:14" ht="11.25">
      <c r="E389" s="73"/>
      <c r="F389" s="73"/>
      <c r="G389" s="73"/>
      <c r="H389" s="73"/>
      <c r="I389" s="73"/>
      <c r="J389" s="73"/>
      <c r="K389" s="73"/>
      <c r="L389" s="73"/>
      <c r="M389" s="73"/>
      <c r="N389" s="73"/>
    </row>
    <row r="390" spans="5:14" ht="11.25">
      <c r="E390" s="73"/>
      <c r="F390" s="73"/>
      <c r="G390" s="73"/>
      <c r="H390" s="73"/>
      <c r="I390" s="73"/>
      <c r="J390" s="73"/>
      <c r="K390" s="73"/>
      <c r="L390" s="73"/>
      <c r="M390" s="73"/>
      <c r="N390" s="73"/>
    </row>
    <row r="391" spans="5:14" ht="11.25">
      <c r="E391" s="73"/>
      <c r="F391" s="73"/>
      <c r="G391" s="73"/>
      <c r="H391" s="73"/>
      <c r="I391" s="73"/>
      <c r="J391" s="73"/>
      <c r="K391" s="73"/>
      <c r="L391" s="73"/>
      <c r="M391" s="73"/>
      <c r="N391" s="73"/>
    </row>
    <row r="392" spans="5:14" ht="11.25">
      <c r="E392" s="73"/>
      <c r="F392" s="73"/>
      <c r="G392" s="73"/>
      <c r="H392" s="73"/>
      <c r="I392" s="73"/>
      <c r="J392" s="73"/>
      <c r="K392" s="73"/>
      <c r="L392" s="73"/>
      <c r="M392" s="73"/>
      <c r="N392" s="73"/>
    </row>
    <row r="393" spans="5:14" ht="11.25">
      <c r="E393" s="73"/>
      <c r="F393" s="73"/>
      <c r="G393" s="73"/>
      <c r="H393" s="73"/>
      <c r="I393" s="73"/>
      <c r="J393" s="73"/>
      <c r="K393" s="73"/>
      <c r="L393" s="73"/>
      <c r="M393" s="73"/>
      <c r="N393" s="73"/>
    </row>
    <row r="394" spans="5:14" ht="11.25">
      <c r="E394" s="73"/>
      <c r="F394" s="73"/>
      <c r="G394" s="73"/>
      <c r="H394" s="73"/>
      <c r="I394" s="73"/>
      <c r="J394" s="73"/>
      <c r="K394" s="73"/>
      <c r="L394" s="73"/>
      <c r="M394" s="73"/>
      <c r="N394" s="73"/>
    </row>
    <row r="395" spans="5:14" ht="11.25">
      <c r="E395" s="73"/>
      <c r="F395" s="73"/>
      <c r="G395" s="73"/>
      <c r="H395" s="73"/>
      <c r="I395" s="73"/>
      <c r="J395" s="73"/>
      <c r="K395" s="73"/>
      <c r="L395" s="73"/>
      <c r="M395" s="73"/>
      <c r="N395" s="73"/>
    </row>
    <row r="396" spans="5:14" ht="11.25">
      <c r="E396" s="73"/>
      <c r="F396" s="73"/>
      <c r="G396" s="73"/>
      <c r="H396" s="73"/>
      <c r="I396" s="73"/>
      <c r="J396" s="73"/>
      <c r="K396" s="73"/>
      <c r="L396" s="73"/>
      <c r="M396" s="73"/>
      <c r="N396" s="73"/>
    </row>
    <row r="397" spans="5:14" ht="11.25">
      <c r="E397" s="73"/>
      <c r="F397" s="73"/>
      <c r="G397" s="73"/>
      <c r="H397" s="73"/>
      <c r="I397" s="73"/>
      <c r="J397" s="73"/>
      <c r="K397" s="73"/>
      <c r="L397" s="73"/>
      <c r="M397" s="73"/>
      <c r="N397" s="73"/>
    </row>
    <row r="398" spans="5:14" ht="11.25">
      <c r="E398" s="73"/>
      <c r="F398" s="73"/>
      <c r="G398" s="73"/>
      <c r="H398" s="73"/>
      <c r="I398" s="73"/>
      <c r="J398" s="73"/>
      <c r="K398" s="73"/>
      <c r="L398" s="73"/>
      <c r="M398" s="73"/>
      <c r="N398" s="73"/>
    </row>
    <row r="399" spans="5:14" ht="11.25">
      <c r="E399" s="73"/>
      <c r="F399" s="73"/>
      <c r="G399" s="73"/>
      <c r="H399" s="73"/>
      <c r="I399" s="73"/>
      <c r="J399" s="73"/>
      <c r="K399" s="73"/>
      <c r="L399" s="73"/>
      <c r="M399" s="73"/>
      <c r="N399" s="73"/>
    </row>
    <row r="400" spans="5:14" ht="11.25">
      <c r="E400" s="73"/>
      <c r="F400" s="73"/>
      <c r="G400" s="73"/>
      <c r="H400" s="73"/>
      <c r="I400" s="73"/>
      <c r="J400" s="73"/>
      <c r="K400" s="73"/>
      <c r="L400" s="73"/>
      <c r="M400" s="73"/>
      <c r="N400" s="73"/>
    </row>
    <row r="401" spans="5:14" ht="11.25">
      <c r="E401" s="73"/>
      <c r="F401" s="73"/>
      <c r="G401" s="73"/>
      <c r="H401" s="73"/>
      <c r="I401" s="73"/>
      <c r="J401" s="73"/>
      <c r="K401" s="73"/>
      <c r="L401" s="73"/>
      <c r="M401" s="73"/>
      <c r="N401" s="73"/>
    </row>
    <row r="402" spans="5:14" ht="11.25">
      <c r="E402" s="73"/>
      <c r="F402" s="73"/>
      <c r="G402" s="73"/>
      <c r="H402" s="73"/>
      <c r="I402" s="73"/>
      <c r="J402" s="73"/>
      <c r="K402" s="73"/>
      <c r="L402" s="73"/>
      <c r="M402" s="73"/>
      <c r="N402" s="73"/>
    </row>
    <row r="403" spans="5:14" ht="11.25">
      <c r="E403" s="73"/>
      <c r="F403" s="73"/>
      <c r="G403" s="73"/>
      <c r="H403" s="73"/>
      <c r="I403" s="73"/>
      <c r="J403" s="73"/>
      <c r="K403" s="73"/>
      <c r="L403" s="73"/>
      <c r="M403" s="73"/>
      <c r="N403" s="73"/>
    </row>
    <row r="404" spans="5:14" ht="11.25">
      <c r="E404" s="73"/>
      <c r="F404" s="73"/>
      <c r="G404" s="73"/>
      <c r="H404" s="73"/>
      <c r="I404" s="73"/>
      <c r="J404" s="73"/>
      <c r="K404" s="73"/>
      <c r="L404" s="73"/>
      <c r="M404" s="73"/>
      <c r="N404" s="73"/>
    </row>
    <row r="405" spans="5:14" ht="11.25">
      <c r="E405" s="73"/>
      <c r="F405" s="73"/>
      <c r="G405" s="73"/>
      <c r="H405" s="73"/>
      <c r="I405" s="73"/>
      <c r="J405" s="73"/>
      <c r="K405" s="73"/>
      <c r="L405" s="73"/>
      <c r="M405" s="73"/>
      <c r="N405" s="73"/>
    </row>
    <row r="406" spans="5:14" ht="11.25">
      <c r="E406" s="73"/>
      <c r="F406" s="73"/>
      <c r="G406" s="73"/>
      <c r="H406" s="73"/>
      <c r="I406" s="73"/>
      <c r="J406" s="73"/>
      <c r="K406" s="73"/>
      <c r="L406" s="73"/>
      <c r="M406" s="73"/>
      <c r="N406" s="73"/>
    </row>
    <row r="407" spans="5:14" ht="11.25">
      <c r="E407" s="73"/>
      <c r="F407" s="73"/>
      <c r="G407" s="73"/>
      <c r="H407" s="73"/>
      <c r="I407" s="73"/>
      <c r="J407" s="73"/>
      <c r="K407" s="73"/>
      <c r="L407" s="73"/>
      <c r="M407" s="73"/>
      <c r="N407" s="73"/>
    </row>
    <row r="408" spans="5:14" ht="11.25">
      <c r="E408" s="73"/>
      <c r="F408" s="73"/>
      <c r="G408" s="73"/>
      <c r="H408" s="73"/>
      <c r="I408" s="73"/>
      <c r="J408" s="73"/>
      <c r="K408" s="73"/>
      <c r="L408" s="73"/>
      <c r="M408" s="73"/>
      <c r="N408" s="73"/>
    </row>
    <row r="409" spans="5:14" ht="11.25">
      <c r="E409" s="73"/>
      <c r="F409" s="73"/>
      <c r="G409" s="73"/>
      <c r="H409" s="73"/>
      <c r="I409" s="73"/>
      <c r="J409" s="73"/>
      <c r="K409" s="73"/>
      <c r="L409" s="73"/>
      <c r="M409" s="73"/>
      <c r="N409" s="73"/>
    </row>
    <row r="410" spans="5:14" ht="11.25">
      <c r="E410" s="73"/>
      <c r="F410" s="73"/>
      <c r="G410" s="73"/>
      <c r="H410" s="73"/>
      <c r="I410" s="73"/>
      <c r="J410" s="73"/>
      <c r="K410" s="73"/>
      <c r="L410" s="73"/>
      <c r="M410" s="73"/>
      <c r="N410" s="73"/>
    </row>
    <row r="411" spans="5:14" ht="11.25">
      <c r="E411" s="73"/>
      <c r="F411" s="73"/>
      <c r="G411" s="73"/>
      <c r="H411" s="73"/>
      <c r="I411" s="73"/>
      <c r="J411" s="73"/>
      <c r="K411" s="73"/>
      <c r="L411" s="73"/>
      <c r="M411" s="73"/>
      <c r="N411" s="73"/>
    </row>
    <row r="412" spans="5:14" ht="11.25">
      <c r="E412" s="73"/>
      <c r="F412" s="73"/>
      <c r="G412" s="73"/>
      <c r="H412" s="73"/>
      <c r="I412" s="73"/>
      <c r="J412" s="73"/>
      <c r="K412" s="73"/>
      <c r="L412" s="73"/>
      <c r="M412" s="73"/>
      <c r="N412" s="73"/>
    </row>
    <row r="413" spans="5:14" ht="11.25">
      <c r="E413" s="73"/>
      <c r="F413" s="73"/>
      <c r="G413" s="73"/>
      <c r="H413" s="73"/>
      <c r="I413" s="73"/>
      <c r="J413" s="73"/>
      <c r="K413" s="73"/>
      <c r="L413" s="73"/>
      <c r="M413" s="73"/>
      <c r="N413" s="73"/>
    </row>
    <row r="414" spans="5:14" ht="11.25">
      <c r="E414" s="73"/>
      <c r="F414" s="73"/>
      <c r="G414" s="73"/>
      <c r="H414" s="73"/>
      <c r="I414" s="73"/>
      <c r="J414" s="73"/>
      <c r="K414" s="73"/>
      <c r="L414" s="73"/>
      <c r="M414" s="73"/>
      <c r="N414" s="73"/>
    </row>
    <row r="415" spans="5:14" ht="11.25">
      <c r="E415" s="73"/>
      <c r="F415" s="73"/>
      <c r="G415" s="73"/>
      <c r="H415" s="73"/>
      <c r="I415" s="73"/>
      <c r="J415" s="73"/>
      <c r="K415" s="73"/>
      <c r="L415" s="73"/>
      <c r="M415" s="73"/>
      <c r="N415" s="73"/>
    </row>
  </sheetData>
  <mergeCells count="1">
    <mergeCell ref="F1:H1"/>
  </mergeCells>
  <printOptions/>
  <pageMargins left="0.75" right="0.75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6"/>
  <sheetViews>
    <sheetView workbookViewId="0" topLeftCell="A1">
      <selection activeCell="A15" sqref="A15"/>
    </sheetView>
  </sheetViews>
  <sheetFormatPr defaultColWidth="9.140625" defaultRowHeight="12.75"/>
  <cols>
    <col min="1" max="1" width="22.7109375" style="8" customWidth="1"/>
    <col min="2" max="2" width="15.7109375" style="57" customWidth="1"/>
    <col min="3" max="7" width="15.7109375" style="13" customWidth="1"/>
    <col min="8" max="8" width="12.28125" style="58" customWidth="1"/>
    <col min="9" max="9" width="8.57421875" style="59" customWidth="1"/>
    <col min="10" max="10" width="33.7109375" style="57" customWidth="1"/>
    <col min="11" max="11" width="18.7109375" style="8" customWidth="1"/>
    <col min="12" max="12" width="18.140625" style="8" customWidth="1"/>
    <col min="13" max="13" width="14.57421875" style="57" customWidth="1"/>
    <col min="14" max="16384" width="9.140625" style="8" customWidth="1"/>
  </cols>
  <sheetData>
    <row r="1" spans="1:13" ht="10.5">
      <c r="A1" s="2" t="s">
        <v>57</v>
      </c>
      <c r="B1" s="3"/>
      <c r="C1" s="4"/>
      <c r="D1" s="4"/>
      <c r="E1" s="4"/>
      <c r="F1" s="4"/>
      <c r="G1" s="101"/>
      <c r="H1" s="102"/>
      <c r="I1" s="55"/>
      <c r="J1" s="8"/>
      <c r="M1" s="8"/>
    </row>
    <row r="2" spans="1:13" ht="10.5">
      <c r="A2" s="9" t="s">
        <v>106</v>
      </c>
      <c r="B2" s="10"/>
      <c r="C2" s="11"/>
      <c r="D2" s="103" t="s">
        <v>2</v>
      </c>
      <c r="E2" s="104">
        <f>Audit!A24</f>
        <v>37580</v>
      </c>
      <c r="G2" s="105"/>
      <c r="H2" s="16"/>
      <c r="I2" s="8"/>
      <c r="J2" s="8"/>
      <c r="M2" s="8"/>
    </row>
    <row r="3" spans="1:13" ht="10.5">
      <c r="A3" s="9" t="s">
        <v>18</v>
      </c>
      <c r="B3" s="18" t="str">
        <f>Cover!A10</f>
        <v>Oga Golf Club</v>
      </c>
      <c r="C3" s="19"/>
      <c r="D3" s="106" t="s">
        <v>107</v>
      </c>
      <c r="E3" s="107" t="s">
        <v>146</v>
      </c>
      <c r="F3" s="19"/>
      <c r="G3" s="105"/>
      <c r="H3" s="20"/>
      <c r="I3" s="8"/>
      <c r="J3" s="8"/>
      <c r="M3" s="8"/>
    </row>
    <row r="4" spans="1:13" ht="4.5" customHeight="1">
      <c r="A4" s="9"/>
      <c r="B4" s="18"/>
      <c r="C4" s="19"/>
      <c r="D4" s="19"/>
      <c r="E4" s="19"/>
      <c r="F4" s="19"/>
      <c r="G4" s="108"/>
      <c r="H4" s="20"/>
      <c r="I4" s="8"/>
      <c r="J4" s="8"/>
      <c r="M4" s="8"/>
    </row>
    <row r="5" spans="1:13" ht="10.5">
      <c r="A5" s="22"/>
      <c r="B5" s="23" t="s">
        <v>108</v>
      </c>
      <c r="C5" s="24" t="s">
        <v>153</v>
      </c>
      <c r="D5" s="24" t="s">
        <v>155</v>
      </c>
      <c r="E5" s="24" t="s">
        <v>64</v>
      </c>
      <c r="F5" s="25" t="s">
        <v>109</v>
      </c>
      <c r="G5" s="26" t="s">
        <v>66</v>
      </c>
      <c r="H5" s="8"/>
      <c r="I5" s="8"/>
      <c r="J5" s="8"/>
      <c r="M5" s="8"/>
    </row>
    <row r="6" spans="1:13" ht="10.5">
      <c r="A6" s="27" t="s">
        <v>27</v>
      </c>
      <c r="B6" s="28" t="s">
        <v>27</v>
      </c>
      <c r="C6" s="222">
        <v>6.4</v>
      </c>
      <c r="D6" s="222">
        <v>5.2</v>
      </c>
      <c r="E6" s="31">
        <f>AVERAGE(C6:D6)</f>
        <v>5.800000000000001</v>
      </c>
      <c r="F6" s="31">
        <v>6.5</v>
      </c>
      <c r="G6" s="30">
        <f>SUM(E6-F6)</f>
        <v>-0.6999999999999993</v>
      </c>
      <c r="H6" s="8"/>
      <c r="I6" s="8"/>
      <c r="J6" s="8"/>
      <c r="M6" s="8"/>
    </row>
    <row r="7" spans="1:13" ht="10.5">
      <c r="A7" s="27" t="s">
        <v>67</v>
      </c>
      <c r="B7" s="28" t="s">
        <v>110</v>
      </c>
      <c r="C7" s="222">
        <v>14.24</v>
      </c>
      <c r="D7" s="222">
        <v>12.79</v>
      </c>
      <c r="E7" s="31">
        <f>AVERAGE(C7:D7)</f>
        <v>13.515</v>
      </c>
      <c r="F7" s="31">
        <v>10</v>
      </c>
      <c r="G7" s="30">
        <f>SUM(E7-F7)</f>
        <v>3.5150000000000006</v>
      </c>
      <c r="H7" s="8"/>
      <c r="I7" s="8"/>
      <c r="J7" s="8"/>
      <c r="M7" s="8"/>
    </row>
    <row r="8" spans="1:13" ht="10.5">
      <c r="A8" s="27" t="s">
        <v>111</v>
      </c>
      <c r="B8" s="28" t="s">
        <v>73</v>
      </c>
      <c r="C8" s="222">
        <v>2.06</v>
      </c>
      <c r="D8" s="222">
        <v>2.99</v>
      </c>
      <c r="E8" s="31">
        <f>AVERAGE(C8:D8)</f>
        <v>2.5250000000000004</v>
      </c>
      <c r="F8" s="31">
        <v>2.5</v>
      </c>
      <c r="G8" s="30">
        <f>SUM(E8-F8)</f>
        <v>0.025000000000000355</v>
      </c>
      <c r="H8" s="8"/>
      <c r="I8" s="8"/>
      <c r="J8" s="8"/>
      <c r="M8" s="8"/>
    </row>
    <row r="9" spans="1:13" ht="10.5">
      <c r="A9" s="27" t="s">
        <v>112</v>
      </c>
      <c r="B9" s="28" t="s">
        <v>113</v>
      </c>
      <c r="C9" s="222">
        <v>61</v>
      </c>
      <c r="D9" s="222">
        <v>80</v>
      </c>
      <c r="E9" s="31">
        <f>AVERAGE(C9:D9)</f>
        <v>70.5</v>
      </c>
      <c r="F9" s="31">
        <v>30</v>
      </c>
      <c r="G9" s="30">
        <f>SUM(E9-F9)</f>
        <v>40.5</v>
      </c>
      <c r="H9" s="8"/>
      <c r="I9" s="8"/>
      <c r="J9" s="8"/>
      <c r="M9" s="8"/>
    </row>
    <row r="10" spans="1:13" ht="10.5">
      <c r="A10" s="27" t="s">
        <v>112</v>
      </c>
      <c r="B10" s="28" t="s">
        <v>28</v>
      </c>
      <c r="C10" s="32">
        <f>PRODUCT(C9/2)</f>
        <v>30.5</v>
      </c>
      <c r="D10" s="32">
        <f>PRODUCT(D9/2)</f>
        <v>40</v>
      </c>
      <c r="E10" s="31">
        <f>PRODUCT(E9/2)</f>
        <v>35.25</v>
      </c>
      <c r="F10" s="31">
        <v>17.5</v>
      </c>
      <c r="G10" s="30">
        <f aca="true" t="shared" si="0" ref="G10:G15">SUM(E10-F10)</f>
        <v>17.75</v>
      </c>
      <c r="H10" s="8"/>
      <c r="I10" s="8"/>
      <c r="J10" s="8"/>
      <c r="M10" s="8"/>
    </row>
    <row r="11" spans="1:13" ht="10.5">
      <c r="A11" s="27" t="s">
        <v>114</v>
      </c>
      <c r="B11" s="33" t="s">
        <v>28</v>
      </c>
      <c r="C11" s="222">
        <v>1.2</v>
      </c>
      <c r="D11" s="222">
        <v>1.1</v>
      </c>
      <c r="E11" s="31">
        <f>AVERAGE(C11:D11)</f>
        <v>1.15</v>
      </c>
      <c r="F11" s="31">
        <v>20</v>
      </c>
      <c r="G11" s="30">
        <f t="shared" si="0"/>
        <v>-18.85</v>
      </c>
      <c r="H11" s="8"/>
      <c r="I11" s="8"/>
      <c r="J11" s="8"/>
      <c r="M11" s="8"/>
    </row>
    <row r="12" spans="1:13" ht="10.5">
      <c r="A12" s="27" t="s">
        <v>115</v>
      </c>
      <c r="B12" s="28" t="s">
        <v>28</v>
      </c>
      <c r="C12" s="223">
        <v>14.3</v>
      </c>
      <c r="D12" s="223">
        <v>12.3</v>
      </c>
      <c r="E12" s="109">
        <f>AVERAGE(C12:D12)</f>
        <v>13.3</v>
      </c>
      <c r="F12" s="109">
        <v>5</v>
      </c>
      <c r="G12" s="35">
        <f t="shared" si="0"/>
        <v>8.3</v>
      </c>
      <c r="H12" s="8"/>
      <c r="I12" s="8"/>
      <c r="J12" s="8"/>
      <c r="M12" s="8"/>
    </row>
    <row r="13" spans="1:13" ht="10.5">
      <c r="A13" s="27" t="s">
        <v>116</v>
      </c>
      <c r="B13" s="28" t="s">
        <v>28</v>
      </c>
      <c r="C13" s="32">
        <f>PRODUCT(SUM(C11:C12))</f>
        <v>15.5</v>
      </c>
      <c r="D13" s="32">
        <f>PRODUCT(SUM(D11:D12))</f>
        <v>13.4</v>
      </c>
      <c r="E13" s="109">
        <f>AVERAGE(C13:D13)</f>
        <v>14.45</v>
      </c>
      <c r="F13" s="31">
        <v>25</v>
      </c>
      <c r="G13" s="30">
        <f t="shared" si="0"/>
        <v>-10.55</v>
      </c>
      <c r="H13" s="8"/>
      <c r="I13" s="8"/>
      <c r="J13" s="8"/>
      <c r="M13" s="8"/>
    </row>
    <row r="14" spans="1:13" ht="10.5">
      <c r="A14" s="27" t="s">
        <v>117</v>
      </c>
      <c r="B14" s="28" t="s">
        <v>118</v>
      </c>
      <c r="C14" s="36">
        <f>PRODUCT(C11/C12)</f>
        <v>0.0839160839160839</v>
      </c>
      <c r="D14" s="36">
        <f>PRODUCT(D11/D12)</f>
        <v>0.08943089430894309</v>
      </c>
      <c r="E14" s="31">
        <f>PRODUCT(E11/E12)</f>
        <v>0.08646616541353383</v>
      </c>
      <c r="F14" s="52">
        <v>0.17</v>
      </c>
      <c r="G14" s="30">
        <f t="shared" si="0"/>
        <v>-0.08353383458646618</v>
      </c>
      <c r="H14" s="8"/>
      <c r="I14" s="8"/>
      <c r="J14" s="8"/>
      <c r="M14" s="8"/>
    </row>
    <row r="15" spans="1:13" ht="10.5">
      <c r="A15" s="27" t="s">
        <v>79</v>
      </c>
      <c r="B15" s="28" t="s">
        <v>28</v>
      </c>
      <c r="C15" s="222">
        <v>52</v>
      </c>
      <c r="D15" s="222">
        <v>34</v>
      </c>
      <c r="E15" s="31">
        <f>AVERAGE(C15:D15)</f>
        <v>43</v>
      </c>
      <c r="F15" s="39">
        <v>30</v>
      </c>
      <c r="G15" s="30">
        <f t="shared" si="0"/>
        <v>13</v>
      </c>
      <c r="H15" s="8"/>
      <c r="I15" s="8"/>
      <c r="J15" s="8"/>
      <c r="M15" s="8"/>
    </row>
    <row r="16" spans="1:13" ht="10.5">
      <c r="A16" s="27" t="s">
        <v>119</v>
      </c>
      <c r="B16" s="28" t="s">
        <v>113</v>
      </c>
      <c r="C16" s="222">
        <v>449</v>
      </c>
      <c r="D16" s="222">
        <v>1653</v>
      </c>
      <c r="E16" s="31">
        <f>AVERAGE(C16:D16)</f>
        <v>1051</v>
      </c>
      <c r="F16" s="38">
        <v>300</v>
      </c>
      <c r="G16" s="30">
        <f>SUM(E16-F16)</f>
        <v>751</v>
      </c>
      <c r="H16" s="8"/>
      <c r="I16" s="8"/>
      <c r="J16" s="8"/>
      <c r="M16" s="8"/>
    </row>
    <row r="17" spans="1:13" ht="10.5">
      <c r="A17" s="27" t="s">
        <v>120</v>
      </c>
      <c r="B17" s="28" t="s">
        <v>113</v>
      </c>
      <c r="C17" s="222">
        <v>618</v>
      </c>
      <c r="D17" s="222">
        <v>861</v>
      </c>
      <c r="E17" s="31">
        <f>AVERAGE(C17:D17)</f>
        <v>739.5</v>
      </c>
      <c r="F17" s="38">
        <v>350</v>
      </c>
      <c r="G17" s="30">
        <f>SUM(E17-F17)</f>
        <v>389.5</v>
      </c>
      <c r="H17" s="8"/>
      <c r="I17" s="8"/>
      <c r="J17" s="8"/>
      <c r="M17" s="8"/>
    </row>
    <row r="18" spans="1:13" ht="10.5">
      <c r="A18" s="27"/>
      <c r="B18" s="20"/>
      <c r="C18" s="15"/>
      <c r="D18" s="15"/>
      <c r="E18" s="46"/>
      <c r="F18" s="41"/>
      <c r="G18" s="42"/>
      <c r="H18" s="8"/>
      <c r="I18" s="8"/>
      <c r="J18" s="8"/>
      <c r="M18" s="8"/>
    </row>
    <row r="19" spans="1:13" ht="10.5">
      <c r="A19" s="43" t="s">
        <v>7</v>
      </c>
      <c r="B19" s="20" t="s">
        <v>1</v>
      </c>
      <c r="C19" s="15"/>
      <c r="D19" s="15"/>
      <c r="E19" s="46"/>
      <c r="F19" s="41"/>
      <c r="G19" s="42"/>
      <c r="H19" s="8"/>
      <c r="I19" s="8"/>
      <c r="J19" s="8"/>
      <c r="M19" s="8"/>
    </row>
    <row r="20" spans="1:13" ht="10.5">
      <c r="A20" s="27" t="s">
        <v>30</v>
      </c>
      <c r="B20" s="28" t="s">
        <v>113</v>
      </c>
      <c r="C20" s="225">
        <v>3024</v>
      </c>
      <c r="D20" s="225">
        <v>1592</v>
      </c>
      <c r="E20" s="52">
        <f>AVERAGE(C20:D20)</f>
        <v>2308</v>
      </c>
      <c r="F20" s="39">
        <f>(AVERAGE(C7:D7))*400*0.68</f>
        <v>3676.0800000000004</v>
      </c>
      <c r="G20" s="44">
        <f>SUM(E20-F20)</f>
        <v>-1368.0800000000004</v>
      </c>
      <c r="H20" s="8"/>
      <c r="I20" s="8"/>
      <c r="J20" s="8"/>
      <c r="M20" s="8"/>
    </row>
    <row r="21" spans="1:13" ht="10.5">
      <c r="A21" s="27" t="s">
        <v>33</v>
      </c>
      <c r="B21" s="28" t="s">
        <v>113</v>
      </c>
      <c r="C21" s="225">
        <v>830</v>
      </c>
      <c r="D21" s="225">
        <v>448</v>
      </c>
      <c r="E21" s="52">
        <f>AVERAGE(C21:D21)</f>
        <v>639</v>
      </c>
      <c r="F21" s="39">
        <f>(AVERAGE(C7:D7))*240*0.15</f>
        <v>486.54</v>
      </c>
      <c r="G21" s="44">
        <f>SUM(E21-F21)</f>
        <v>152.45999999999998</v>
      </c>
      <c r="H21" s="8"/>
      <c r="I21" s="8"/>
      <c r="J21" s="8"/>
      <c r="M21" s="8"/>
    </row>
    <row r="22" spans="1:13" ht="10.5">
      <c r="A22" s="27" t="s">
        <v>36</v>
      </c>
      <c r="B22" s="28" t="s">
        <v>113</v>
      </c>
      <c r="C22" s="225">
        <v>708</v>
      </c>
      <c r="D22" s="225">
        <v>682</v>
      </c>
      <c r="E22" s="52">
        <f>AVERAGE(C22:D22)</f>
        <v>695</v>
      </c>
      <c r="F22" s="39">
        <f>(AVERAGE(C7:D7))*780*0.05</f>
        <v>527.085</v>
      </c>
      <c r="G22" s="44">
        <f>SUM(E22-F22)</f>
        <v>167.91499999999996</v>
      </c>
      <c r="H22" s="8"/>
      <c r="I22" s="8"/>
      <c r="J22" s="8"/>
      <c r="M22" s="8"/>
    </row>
    <row r="23" spans="1:13" ht="10.5">
      <c r="A23" s="27" t="s">
        <v>39</v>
      </c>
      <c r="B23" s="28" t="s">
        <v>113</v>
      </c>
      <c r="C23" s="225">
        <v>148</v>
      </c>
      <c r="D23" s="225">
        <v>86</v>
      </c>
      <c r="E23" s="52">
        <f>AVERAGE(C23:D23)</f>
        <v>117</v>
      </c>
      <c r="F23" s="39">
        <f>(AVERAGE(C7:D7))*1390*0.01</f>
        <v>187.85850000000002</v>
      </c>
      <c r="G23" s="44">
        <f>SUM(E23-F23)</f>
        <v>-70.85850000000002</v>
      </c>
      <c r="H23" s="8"/>
      <c r="I23" s="8"/>
      <c r="J23" s="8"/>
      <c r="M23" s="8"/>
    </row>
    <row r="24" spans="1:13" ht="10.5">
      <c r="A24" s="27"/>
      <c r="B24" s="20"/>
      <c r="C24" s="15"/>
      <c r="D24" s="15"/>
      <c r="E24" s="46"/>
      <c r="F24" s="41"/>
      <c r="G24" s="42"/>
      <c r="H24" s="8"/>
      <c r="I24" s="8"/>
      <c r="J24" s="8"/>
      <c r="M24" s="8"/>
    </row>
    <row r="25" spans="1:13" ht="10.5">
      <c r="A25" s="43" t="s">
        <v>29</v>
      </c>
      <c r="B25" s="20" t="s">
        <v>1</v>
      </c>
      <c r="C25" s="15"/>
      <c r="D25" s="15"/>
      <c r="E25" s="46"/>
      <c r="F25" s="41"/>
      <c r="G25" s="42"/>
      <c r="H25" s="8"/>
      <c r="I25" s="8"/>
      <c r="J25" s="8"/>
      <c r="M25" s="8"/>
    </row>
    <row r="26" spans="1:13" ht="10.5">
      <c r="A26" s="27" t="s">
        <v>30</v>
      </c>
      <c r="B26" s="28" t="s">
        <v>28</v>
      </c>
      <c r="C26" s="45">
        <f aca="true" t="shared" si="1" ref="C26:F29">PRODUCT(C20/2)</f>
        <v>1512</v>
      </c>
      <c r="D26" s="45">
        <f t="shared" si="1"/>
        <v>796</v>
      </c>
      <c r="E26" s="52">
        <f t="shared" si="1"/>
        <v>1154</v>
      </c>
      <c r="F26" s="52">
        <f t="shared" si="1"/>
        <v>1838.0400000000002</v>
      </c>
      <c r="G26" s="44">
        <f>SUM(E26-F26)</f>
        <v>-684.0400000000002</v>
      </c>
      <c r="H26" s="8"/>
      <c r="I26" s="8"/>
      <c r="J26" s="8"/>
      <c r="M26" s="8"/>
    </row>
    <row r="27" spans="1:13" ht="10.5">
      <c r="A27" s="27" t="s">
        <v>33</v>
      </c>
      <c r="B27" s="28" t="s">
        <v>28</v>
      </c>
      <c r="C27" s="45">
        <f t="shared" si="1"/>
        <v>415</v>
      </c>
      <c r="D27" s="45">
        <f t="shared" si="1"/>
        <v>224</v>
      </c>
      <c r="E27" s="52">
        <f t="shared" si="1"/>
        <v>319.5</v>
      </c>
      <c r="F27" s="52">
        <f t="shared" si="1"/>
        <v>243.27</v>
      </c>
      <c r="G27" s="44">
        <f>SUM(E27-F27)</f>
        <v>76.22999999999999</v>
      </c>
      <c r="H27" s="8"/>
      <c r="I27" s="8"/>
      <c r="J27" s="8"/>
      <c r="M27" s="8"/>
    </row>
    <row r="28" spans="1:13" ht="10.5">
      <c r="A28" s="27" t="s">
        <v>36</v>
      </c>
      <c r="B28" s="28" t="s">
        <v>28</v>
      </c>
      <c r="C28" s="32">
        <f t="shared" si="1"/>
        <v>354</v>
      </c>
      <c r="D28" s="32">
        <f t="shared" si="1"/>
        <v>341</v>
      </c>
      <c r="E28" s="31">
        <f t="shared" si="1"/>
        <v>347.5</v>
      </c>
      <c r="F28" s="31">
        <f t="shared" si="1"/>
        <v>263.5425</v>
      </c>
      <c r="G28" s="30">
        <f>SUM(E28-F28)</f>
        <v>83.95749999999998</v>
      </c>
      <c r="H28" s="8"/>
      <c r="I28" s="8"/>
      <c r="J28" s="8"/>
      <c r="M28" s="8"/>
    </row>
    <row r="29" spans="1:13" ht="10.5">
      <c r="A29" s="27" t="s">
        <v>39</v>
      </c>
      <c r="B29" s="28" t="s">
        <v>28</v>
      </c>
      <c r="C29" s="32">
        <f t="shared" si="1"/>
        <v>74</v>
      </c>
      <c r="D29" s="45">
        <f t="shared" si="1"/>
        <v>43</v>
      </c>
      <c r="E29" s="52">
        <f t="shared" si="1"/>
        <v>58.5</v>
      </c>
      <c r="F29" s="52">
        <f t="shared" si="1"/>
        <v>93.92925000000001</v>
      </c>
      <c r="G29" s="44">
        <f>SUM(E29-F29)</f>
        <v>-35.42925000000001</v>
      </c>
      <c r="H29" s="8"/>
      <c r="I29" s="8"/>
      <c r="J29" s="8"/>
      <c r="M29" s="8"/>
    </row>
    <row r="30" spans="1:13" ht="10.5">
      <c r="A30" s="27"/>
      <c r="B30" s="20"/>
      <c r="C30" s="15"/>
      <c r="D30" s="15"/>
      <c r="E30" s="46"/>
      <c r="F30" s="46"/>
      <c r="G30" s="42"/>
      <c r="H30" s="8"/>
      <c r="I30" s="8"/>
      <c r="J30" s="8"/>
      <c r="M30" s="8"/>
    </row>
    <row r="31" spans="1:13" ht="10.5">
      <c r="A31" s="43" t="s">
        <v>121</v>
      </c>
      <c r="B31" s="20" t="s">
        <v>1</v>
      </c>
      <c r="C31" s="15" t="s">
        <v>1</v>
      </c>
      <c r="D31" s="15"/>
      <c r="E31" s="46"/>
      <c r="F31" s="46"/>
      <c r="G31" s="42" t="s">
        <v>1</v>
      </c>
      <c r="H31" s="8"/>
      <c r="I31" s="8"/>
      <c r="J31" s="8"/>
      <c r="M31" s="8"/>
    </row>
    <row r="32" spans="1:13" ht="10.5">
      <c r="A32" s="27" t="s">
        <v>30</v>
      </c>
      <c r="B32" s="28" t="s">
        <v>73</v>
      </c>
      <c r="C32" s="110">
        <f>PRODUCT(C20/(C7*400))</f>
        <v>0.5308988764044944</v>
      </c>
      <c r="D32" s="110">
        <f>PRODUCT(D20/(D7*400))</f>
        <v>0.31118060985144647</v>
      </c>
      <c r="E32" s="52">
        <f>AVERAGE(C32:D32)</f>
        <v>0.42103974312797043</v>
      </c>
      <c r="F32" s="49">
        <v>0.68</v>
      </c>
      <c r="G32" s="50">
        <f>SUM(E32-F32)</f>
        <v>-0.2589602568720296</v>
      </c>
      <c r="H32" s="8"/>
      <c r="I32" s="8"/>
      <c r="J32" s="8"/>
      <c r="M32" s="8"/>
    </row>
    <row r="33" spans="1:13" ht="10.5">
      <c r="A33" s="27" t="s">
        <v>33</v>
      </c>
      <c r="B33" s="28" t="s">
        <v>73</v>
      </c>
      <c r="C33" s="110">
        <f>PRODUCT(C21/(C7*240))</f>
        <v>0.24286048689138579</v>
      </c>
      <c r="D33" s="110">
        <f>PRODUCT(D21/(D7*240))</f>
        <v>0.14594735470419598</v>
      </c>
      <c r="E33" s="52">
        <f>AVERAGE(C33:D33)</f>
        <v>0.1944039207977909</v>
      </c>
      <c r="F33" s="49">
        <v>0.15</v>
      </c>
      <c r="G33" s="50">
        <f>SUM(E33-F33)</f>
        <v>0.0444039207977909</v>
      </c>
      <c r="H33" s="8"/>
      <c r="I33" s="8"/>
      <c r="J33" s="8"/>
      <c r="M33" s="8"/>
    </row>
    <row r="34" spans="1:13" ht="10.5">
      <c r="A34" s="27" t="s">
        <v>36</v>
      </c>
      <c r="B34" s="28" t="s">
        <v>73</v>
      </c>
      <c r="C34" s="110">
        <f>PRODUCT(C22/(C7*780))</f>
        <v>0.06374243733794295</v>
      </c>
      <c r="D34" s="110">
        <f>PRODUCT(D22/(D7*780))</f>
        <v>0.0683627032336962</v>
      </c>
      <c r="E34" s="52">
        <f>AVERAGE(C34:D34)</f>
        <v>0.06605257028581957</v>
      </c>
      <c r="F34" s="49">
        <v>0.05</v>
      </c>
      <c r="G34" s="50">
        <f>SUM(E34-F34)</f>
        <v>0.016052570285819565</v>
      </c>
      <c r="H34" s="8"/>
      <c r="I34" s="8"/>
      <c r="J34" s="8"/>
      <c r="M34" s="8"/>
    </row>
    <row r="35" spans="1:13" ht="10.5">
      <c r="A35" s="27" t="s">
        <v>39</v>
      </c>
      <c r="B35" s="28" t="s">
        <v>73</v>
      </c>
      <c r="C35" s="110">
        <f>PRODUCT(C23/(C7*1390))</f>
        <v>0.007477164335946973</v>
      </c>
      <c r="D35" s="110">
        <f>PRODUCT(D23/(D7*1390))</f>
        <v>0.004837412321901666</v>
      </c>
      <c r="E35" s="52">
        <f>AVERAGE(C35:D35)</f>
        <v>0.0061572883289243195</v>
      </c>
      <c r="F35" s="49">
        <v>0.01</v>
      </c>
      <c r="G35" s="50">
        <f>SUM(E35-F35)</f>
        <v>-0.0038427116710756807</v>
      </c>
      <c r="H35" s="8"/>
      <c r="I35" s="8"/>
      <c r="J35" s="8"/>
      <c r="M35" s="8"/>
    </row>
    <row r="36" spans="1:13" ht="10.5">
      <c r="A36" s="27"/>
      <c r="B36" s="20"/>
      <c r="C36" s="15"/>
      <c r="D36" s="15"/>
      <c r="E36" s="46"/>
      <c r="F36" s="51"/>
      <c r="G36" s="42"/>
      <c r="H36" s="8"/>
      <c r="I36" s="8"/>
      <c r="J36" s="8"/>
      <c r="M36" s="8"/>
    </row>
    <row r="37" spans="1:13" ht="10.5">
      <c r="A37" s="43" t="s">
        <v>29</v>
      </c>
      <c r="B37" s="20" t="s">
        <v>1</v>
      </c>
      <c r="C37" s="15"/>
      <c r="D37" s="15"/>
      <c r="E37" s="46"/>
      <c r="F37" s="46"/>
      <c r="G37" s="42" t="s">
        <v>1</v>
      </c>
      <c r="H37" s="8"/>
      <c r="I37" s="8"/>
      <c r="J37" s="8"/>
      <c r="M37" s="8"/>
    </row>
    <row r="38" spans="1:13" ht="10.5">
      <c r="A38" s="27" t="s">
        <v>44</v>
      </c>
      <c r="B38" s="28" t="s">
        <v>28</v>
      </c>
      <c r="C38" s="225">
        <v>0.2</v>
      </c>
      <c r="D38" s="225">
        <v>0.2</v>
      </c>
      <c r="E38" s="52">
        <f aca="true" t="shared" si="2" ref="E38:E43">AVERAGE(C38:D38)</f>
        <v>0.2</v>
      </c>
      <c r="F38" s="52">
        <v>1.5</v>
      </c>
      <c r="G38" s="44">
        <f aca="true" t="shared" si="3" ref="G38:G43">SUM(E38-F38)</f>
        <v>-1.3</v>
      </c>
      <c r="H38" s="8"/>
      <c r="I38" s="8"/>
      <c r="J38" s="8"/>
      <c r="M38" s="8"/>
    </row>
    <row r="39" spans="1:13" ht="10.5">
      <c r="A39" s="27" t="s">
        <v>41</v>
      </c>
      <c r="B39" s="28" t="s">
        <v>28</v>
      </c>
      <c r="C39" s="225">
        <v>164</v>
      </c>
      <c r="D39" s="225">
        <v>339</v>
      </c>
      <c r="E39" s="52">
        <f t="shared" si="2"/>
        <v>251.5</v>
      </c>
      <c r="F39" s="52">
        <v>250</v>
      </c>
      <c r="G39" s="44">
        <f t="shared" si="3"/>
        <v>1.5</v>
      </c>
      <c r="H39" s="8"/>
      <c r="I39" s="8"/>
      <c r="J39" s="8"/>
      <c r="M39" s="8"/>
    </row>
    <row r="40" spans="1:13" ht="10.5">
      <c r="A40" s="27" t="s">
        <v>45</v>
      </c>
      <c r="B40" s="28" t="s">
        <v>28</v>
      </c>
      <c r="C40" s="225">
        <v>43</v>
      </c>
      <c r="D40" s="225">
        <v>29</v>
      </c>
      <c r="E40" s="52">
        <f t="shared" si="2"/>
        <v>36</v>
      </c>
      <c r="F40" s="52">
        <v>60</v>
      </c>
      <c r="G40" s="44">
        <f t="shared" si="3"/>
        <v>-24</v>
      </c>
      <c r="H40" s="8"/>
      <c r="I40" s="8"/>
      <c r="J40" s="8"/>
      <c r="M40" s="8"/>
    </row>
    <row r="41" spans="1:13" ht="10.5">
      <c r="A41" s="27" t="s">
        <v>47</v>
      </c>
      <c r="B41" s="28" t="s">
        <v>28</v>
      </c>
      <c r="C41" s="225">
        <v>1.87</v>
      </c>
      <c r="D41" s="225">
        <v>1.25</v>
      </c>
      <c r="E41" s="52">
        <f t="shared" si="2"/>
        <v>1.56</v>
      </c>
      <c r="F41" s="52">
        <v>2.5</v>
      </c>
      <c r="G41" s="44">
        <f t="shared" si="3"/>
        <v>-0.94</v>
      </c>
      <c r="H41" s="8"/>
      <c r="I41" s="8"/>
      <c r="J41" s="8"/>
      <c r="M41" s="8"/>
    </row>
    <row r="42" spans="1:13" ht="10.5">
      <c r="A42" s="27" t="s">
        <v>50</v>
      </c>
      <c r="B42" s="28" t="s">
        <v>28</v>
      </c>
      <c r="C42" s="225">
        <v>2.82</v>
      </c>
      <c r="D42" s="225">
        <v>3.39</v>
      </c>
      <c r="E42" s="52">
        <f t="shared" si="2"/>
        <v>3.105</v>
      </c>
      <c r="F42" s="52">
        <v>12</v>
      </c>
      <c r="G42" s="44">
        <f t="shared" si="3"/>
        <v>-8.895</v>
      </c>
      <c r="H42" s="8"/>
      <c r="I42" s="8"/>
      <c r="J42" s="8"/>
      <c r="M42" s="8"/>
    </row>
    <row r="43" spans="1:13" ht="10.5">
      <c r="A43" s="27" t="s">
        <v>53</v>
      </c>
      <c r="B43" s="28" t="s">
        <v>28</v>
      </c>
      <c r="C43" s="225">
        <v>1310</v>
      </c>
      <c r="D43" s="225">
        <v>1168</v>
      </c>
      <c r="E43" s="52">
        <f t="shared" si="2"/>
        <v>1239</v>
      </c>
      <c r="F43" s="52">
        <v>400</v>
      </c>
      <c r="G43" s="44">
        <f t="shared" si="3"/>
        <v>839</v>
      </c>
      <c r="H43" s="8"/>
      <c r="I43" s="8"/>
      <c r="J43" s="8"/>
      <c r="M43" s="8"/>
    </row>
    <row r="44" spans="1:13" ht="10.5">
      <c r="A44" s="27" t="s">
        <v>1</v>
      </c>
      <c r="B44" s="20"/>
      <c r="C44" s="15"/>
      <c r="D44" s="15"/>
      <c r="E44" s="46"/>
      <c r="F44" s="46" t="s">
        <v>1</v>
      </c>
      <c r="G44" s="42" t="s">
        <v>1</v>
      </c>
      <c r="H44" s="8"/>
      <c r="I44" s="8"/>
      <c r="J44" s="8"/>
      <c r="M44" s="8"/>
    </row>
    <row r="45" spans="1:13" ht="10.5">
      <c r="A45" s="43" t="s">
        <v>122</v>
      </c>
      <c r="B45" s="20" t="s">
        <v>1</v>
      </c>
      <c r="C45" s="15"/>
      <c r="D45" s="15"/>
      <c r="E45" s="46"/>
      <c r="F45" s="46"/>
      <c r="G45" s="42" t="s">
        <v>1</v>
      </c>
      <c r="H45" s="8"/>
      <c r="I45" s="8"/>
      <c r="J45" s="8"/>
      <c r="M45" s="8"/>
    </row>
    <row r="46" spans="1:13" ht="10.5">
      <c r="A46" s="27" t="s">
        <v>123</v>
      </c>
      <c r="B46" s="28" t="s">
        <v>143</v>
      </c>
      <c r="C46" s="53">
        <f>PRODUCT(C28/C29)</f>
        <v>4.783783783783784</v>
      </c>
      <c r="D46" s="53">
        <f>PRODUCT(D28/D29)</f>
        <v>7.930232558139535</v>
      </c>
      <c r="E46" s="52">
        <f>PRODUCT(E28/E29)</f>
        <v>5.94017094017094</v>
      </c>
      <c r="F46" s="52">
        <v>5</v>
      </c>
      <c r="G46" s="44">
        <f>SUM(E46-F46)</f>
        <v>0.9401709401709404</v>
      </c>
      <c r="H46" s="8"/>
      <c r="I46" s="8"/>
      <c r="J46" s="8"/>
      <c r="M46" s="8"/>
    </row>
    <row r="47" spans="1:13" ht="10.5">
      <c r="A47" s="27" t="s">
        <v>124</v>
      </c>
      <c r="B47" s="28" t="s">
        <v>143</v>
      </c>
      <c r="C47" s="53">
        <f>PRODUCT(C27/C28)</f>
        <v>1.1723163841807909</v>
      </c>
      <c r="D47" s="53">
        <f>PRODUCT(D27/D28)</f>
        <v>0.656891495601173</v>
      </c>
      <c r="E47" s="52">
        <f>PRODUCT(E27/E28)</f>
        <v>0.9194244604316547</v>
      </c>
      <c r="F47" s="52">
        <v>2</v>
      </c>
      <c r="G47" s="44">
        <f>SUM(E47-F47)</f>
        <v>-1.0805755395683452</v>
      </c>
      <c r="H47" s="8"/>
      <c r="I47" s="8"/>
      <c r="J47" s="8"/>
      <c r="M47" s="8"/>
    </row>
    <row r="48" spans="1:13" ht="10.5">
      <c r="A48" s="54" t="s">
        <v>125</v>
      </c>
      <c r="B48" s="28" t="s">
        <v>143</v>
      </c>
      <c r="C48" s="53">
        <f>PRODUCT(C26/C27)</f>
        <v>3.6433734939759037</v>
      </c>
      <c r="D48" s="53">
        <f>PRODUCT(D26/D27)</f>
        <v>3.5535714285714284</v>
      </c>
      <c r="E48" s="52">
        <f>PRODUCT(E26/E27)</f>
        <v>3.61189358372457</v>
      </c>
      <c r="F48" s="52">
        <v>7</v>
      </c>
      <c r="G48" s="44">
        <f>SUM(E48-F48)</f>
        <v>-3.38810641627543</v>
      </c>
      <c r="H48" s="8"/>
      <c r="I48" s="8"/>
      <c r="J48" s="8"/>
      <c r="M48" s="8"/>
    </row>
    <row r="49" spans="1:13" ht="10.5">
      <c r="A49" s="55"/>
      <c r="B49" s="20"/>
      <c r="C49" s="16"/>
      <c r="D49" s="16"/>
      <c r="E49" s="16"/>
      <c r="F49" s="16"/>
      <c r="G49" s="16"/>
      <c r="H49" s="16"/>
      <c r="I49" s="56"/>
      <c r="J49" s="20"/>
      <c r="M49" s="8"/>
    </row>
    <row r="50" spans="1:13" ht="10.5">
      <c r="A50" s="55"/>
      <c r="B50" s="20"/>
      <c r="C50" s="16"/>
      <c r="D50" s="16"/>
      <c r="E50" s="16"/>
      <c r="F50" s="16"/>
      <c r="G50" s="16"/>
      <c r="H50" s="16"/>
      <c r="I50" s="56"/>
      <c r="J50" s="20"/>
      <c r="M50" s="8"/>
    </row>
    <row r="51" ht="10.5">
      <c r="M51" s="8"/>
    </row>
    <row r="52" spans="1:13" ht="10.5">
      <c r="A52" s="60" t="s">
        <v>126</v>
      </c>
      <c r="B52" s="61"/>
      <c r="C52" s="5"/>
      <c r="D52" s="5"/>
      <c r="E52" s="5"/>
      <c r="F52" s="5"/>
      <c r="G52" s="111"/>
      <c r="H52" s="8"/>
      <c r="I52" s="8"/>
      <c r="J52" s="8"/>
      <c r="M52" s="8"/>
    </row>
    <row r="53" spans="1:13" ht="10.5">
      <c r="A53" s="27"/>
      <c r="B53" s="20"/>
      <c r="C53" s="63" t="str">
        <f>(C5)</f>
        <v>#7</v>
      </c>
      <c r="D53" s="63" t="str">
        <f>(D5)</f>
        <v>#15</v>
      </c>
      <c r="E53" s="64" t="s">
        <v>64</v>
      </c>
      <c r="F53" s="65" t="s">
        <v>109</v>
      </c>
      <c r="G53" s="66" t="s">
        <v>66</v>
      </c>
      <c r="H53" s="8"/>
      <c r="I53" s="8"/>
      <c r="J53" s="8"/>
      <c r="M53" s="8"/>
    </row>
    <row r="54" spans="1:13" ht="10.5">
      <c r="A54" s="27" t="s">
        <v>112</v>
      </c>
      <c r="B54" s="20" t="s">
        <v>78</v>
      </c>
      <c r="C54" s="16">
        <f>PRODUCT((C9/43.56)/0.220462)</f>
        <v>6.351966821757122</v>
      </c>
      <c r="D54" s="16">
        <f>PRODUCT((D9/43.56)/0.220462)</f>
        <v>8.330448290829013</v>
      </c>
      <c r="E54" s="16">
        <f>AVERAGE(C54:D54)</f>
        <v>7.341207556293067</v>
      </c>
      <c r="F54" s="261">
        <v>3.12</v>
      </c>
      <c r="G54" s="30">
        <f>SUM(E54-F54)</f>
        <v>4.221207556293067</v>
      </c>
      <c r="H54" s="8"/>
      <c r="I54" s="8"/>
      <c r="J54" s="8"/>
      <c r="M54" s="8"/>
    </row>
    <row r="55" spans="1:13" ht="10.5">
      <c r="A55" s="27"/>
      <c r="B55" s="20"/>
      <c r="C55" s="16"/>
      <c r="D55" s="16"/>
      <c r="E55" s="16"/>
      <c r="F55" s="262"/>
      <c r="G55" s="67"/>
      <c r="H55" s="8"/>
      <c r="I55" s="8"/>
      <c r="J55" s="8"/>
      <c r="M55" s="8"/>
    </row>
    <row r="56" spans="1:13" ht="10.5">
      <c r="A56" s="27" t="s">
        <v>119</v>
      </c>
      <c r="B56" s="20" t="s">
        <v>78</v>
      </c>
      <c r="C56" s="16">
        <f>PRODUCT((C16/43.56)/0.220462)</f>
        <v>46.75464103227783</v>
      </c>
      <c r="D56" s="16">
        <f>PRODUCT((D16/43.56)/0.220462)</f>
        <v>172.12788780925447</v>
      </c>
      <c r="E56" s="16">
        <f>AVERAGE(C56:D56)</f>
        <v>109.44126442076615</v>
      </c>
      <c r="F56" s="262">
        <v>26</v>
      </c>
      <c r="G56" s="44">
        <f>SUM(E56-F56)</f>
        <v>83.44126442076615</v>
      </c>
      <c r="H56" s="8"/>
      <c r="I56" s="8"/>
      <c r="J56" s="8"/>
      <c r="M56" s="8"/>
    </row>
    <row r="57" spans="1:13" ht="10.5">
      <c r="A57" s="27" t="s">
        <v>120</v>
      </c>
      <c r="B57" s="20" t="s">
        <v>78</v>
      </c>
      <c r="C57" s="16">
        <f>PRODUCT((C17/43.56)/0.220462)</f>
        <v>64.35271304665412</v>
      </c>
      <c r="D57" s="16">
        <f>PRODUCT((D17/43.56)/0.220462)</f>
        <v>89.65644973004724</v>
      </c>
      <c r="E57" s="16">
        <f>AVERAGE(C57:D57)</f>
        <v>77.00458138835069</v>
      </c>
      <c r="F57" s="262">
        <v>36.45</v>
      </c>
      <c r="G57" s="44">
        <f>SUM(E57-F57)</f>
        <v>40.554581388350684</v>
      </c>
      <c r="H57" s="8"/>
      <c r="I57" s="8"/>
      <c r="J57" s="8"/>
      <c r="M57" s="8"/>
    </row>
    <row r="58" spans="1:13" ht="10.5">
      <c r="A58" s="27"/>
      <c r="B58" s="20"/>
      <c r="C58" s="16" t="s">
        <v>1</v>
      </c>
      <c r="D58" s="16" t="s">
        <v>1</v>
      </c>
      <c r="E58" s="16"/>
      <c r="F58" s="262"/>
      <c r="G58" s="67"/>
      <c r="H58" s="8"/>
      <c r="I58" s="8"/>
      <c r="J58" s="8"/>
      <c r="M58" s="8"/>
    </row>
    <row r="59" spans="1:13" ht="10.5">
      <c r="A59" s="27" t="s">
        <v>30</v>
      </c>
      <c r="B59" s="20" t="s">
        <v>78</v>
      </c>
      <c r="C59" s="16">
        <f aca="true" t="shared" si="4" ref="C59:D62">PRODUCT((C20/43.56)/0.220462)</f>
        <v>314.8909453933366</v>
      </c>
      <c r="D59" s="16">
        <f t="shared" si="4"/>
        <v>165.77592098749736</v>
      </c>
      <c r="E59" s="16">
        <f>AVERAGE(C59:D59)</f>
        <v>240.333433190417</v>
      </c>
      <c r="F59" s="262">
        <f>PRODUCT((F20/43.56)/0.220462)</f>
        <v>382.792429411884</v>
      </c>
      <c r="G59" s="44">
        <f>SUM(E59-F59)</f>
        <v>-142.45899622146698</v>
      </c>
      <c r="H59" s="8"/>
      <c r="I59" s="8"/>
      <c r="J59" s="8"/>
      <c r="M59" s="8"/>
    </row>
    <row r="60" spans="1:13" ht="10.5">
      <c r="A60" s="27" t="s">
        <v>33</v>
      </c>
      <c r="B60" s="20" t="s">
        <v>78</v>
      </c>
      <c r="C60" s="16">
        <f t="shared" si="4"/>
        <v>86.42840101735099</v>
      </c>
      <c r="D60" s="16">
        <f t="shared" si="4"/>
        <v>46.65051042864247</v>
      </c>
      <c r="E60" s="16">
        <f>AVERAGE(C60:D60)</f>
        <v>66.53945572299673</v>
      </c>
      <c r="F60" s="262">
        <f>PRODUCT((F21/43.56)/0.220462)</f>
        <v>50.66370389274934</v>
      </c>
      <c r="G60" s="44">
        <f>SUM(E60-F60)</f>
        <v>15.875751830247395</v>
      </c>
      <c r="H60" s="8"/>
      <c r="I60" s="8"/>
      <c r="J60" s="8"/>
      <c r="M60" s="8"/>
    </row>
    <row r="61" spans="1:13" ht="10.5">
      <c r="A61" s="27" t="s">
        <v>36</v>
      </c>
      <c r="B61" s="20" t="s">
        <v>78</v>
      </c>
      <c r="C61" s="16">
        <f t="shared" si="4"/>
        <v>73.72446737383676</v>
      </c>
      <c r="D61" s="16">
        <f t="shared" si="4"/>
        <v>71.01707167931733</v>
      </c>
      <c r="E61" s="16">
        <f>AVERAGE(C61:D61)</f>
        <v>72.37076952657705</v>
      </c>
      <c r="F61" s="262">
        <f>PRODUCT((F22/43.56)/0.220462)</f>
        <v>54.885679217145125</v>
      </c>
      <c r="G61" s="44">
        <f>SUM(E61-F61)</f>
        <v>17.485090309431925</v>
      </c>
      <c r="H61" s="8"/>
      <c r="I61" s="8"/>
      <c r="J61" s="8"/>
      <c r="M61" s="8"/>
    </row>
    <row r="62" spans="1:13" ht="10.5">
      <c r="A62" s="54" t="s">
        <v>39</v>
      </c>
      <c r="B62" s="28" t="s">
        <v>78</v>
      </c>
      <c r="C62" s="53">
        <f t="shared" si="4"/>
        <v>15.411329338033672</v>
      </c>
      <c r="D62" s="53">
        <f t="shared" si="4"/>
        <v>8.955231912641187</v>
      </c>
      <c r="E62" s="53">
        <f>AVERAGE(C62:D62)</f>
        <v>12.18328062533743</v>
      </c>
      <c r="F62" s="263">
        <f>PRODUCT((F23/43.56)/0.220462)</f>
        <v>19.561819003033776</v>
      </c>
      <c r="G62" s="44">
        <f>SUM(E62-F62)</f>
        <v>-7.378538377696346</v>
      </c>
      <c r="H62" s="8"/>
      <c r="I62" s="8"/>
      <c r="J62" s="8"/>
      <c r="M62" s="8"/>
    </row>
    <row r="63" ht="10.5">
      <c r="M63" s="8"/>
    </row>
    <row r="64" ht="10.5">
      <c r="M64" s="8"/>
    </row>
    <row r="65" ht="10.5">
      <c r="M65" s="8"/>
    </row>
    <row r="66" ht="10.5">
      <c r="M66" s="8"/>
    </row>
    <row r="67" ht="10.5">
      <c r="M67" s="8"/>
    </row>
    <row r="68" ht="10.5">
      <c r="M68" s="8"/>
    </row>
    <row r="69" ht="10.5">
      <c r="M69" s="8"/>
    </row>
    <row r="70" ht="10.5">
      <c r="M70" s="8"/>
    </row>
    <row r="71" ht="10.5">
      <c r="M71" s="8"/>
    </row>
    <row r="72" ht="10.5">
      <c r="M72" s="8"/>
    </row>
    <row r="73" ht="10.5">
      <c r="M73" s="8"/>
    </row>
    <row r="74" ht="10.5">
      <c r="M74" s="8"/>
    </row>
    <row r="75" ht="10.5">
      <c r="M75" s="8"/>
    </row>
    <row r="76" ht="10.5">
      <c r="M76" s="8"/>
    </row>
    <row r="77" ht="10.5">
      <c r="M77" s="8"/>
    </row>
    <row r="78" ht="10.5">
      <c r="M78" s="8"/>
    </row>
    <row r="79" ht="10.5">
      <c r="M79" s="8"/>
    </row>
    <row r="80" ht="10.5">
      <c r="M80" s="8"/>
    </row>
    <row r="81" ht="10.5">
      <c r="M81" s="8"/>
    </row>
    <row r="82" ht="10.5">
      <c r="M82" s="8"/>
    </row>
    <row r="83" ht="10.5">
      <c r="M83" s="8"/>
    </row>
    <row r="84" ht="10.5">
      <c r="M84" s="8"/>
    </row>
    <row r="85" ht="10.5">
      <c r="M85" s="8"/>
    </row>
    <row r="86" ht="10.5">
      <c r="M86" s="8"/>
    </row>
    <row r="87" ht="10.5">
      <c r="M87" s="8"/>
    </row>
    <row r="88" ht="10.5">
      <c r="M88" s="8"/>
    </row>
    <row r="89" ht="10.5">
      <c r="M89" s="8"/>
    </row>
    <row r="90" ht="10.5">
      <c r="M90" s="8"/>
    </row>
    <row r="91" ht="10.5">
      <c r="M91" s="8"/>
    </row>
    <row r="92" ht="10.5">
      <c r="M92" s="8"/>
    </row>
    <row r="93" ht="10.5">
      <c r="M93" s="8"/>
    </row>
    <row r="94" ht="10.5">
      <c r="M94" s="8"/>
    </row>
    <row r="95" ht="10.5">
      <c r="M95" s="8"/>
    </row>
    <row r="96" ht="10.5">
      <c r="M96" s="8"/>
    </row>
    <row r="97" ht="10.5">
      <c r="M97" s="8"/>
    </row>
    <row r="98" ht="10.5">
      <c r="M98" s="8"/>
    </row>
    <row r="99" ht="10.5">
      <c r="M99" s="8"/>
    </row>
    <row r="100" ht="10.5">
      <c r="M100" s="8"/>
    </row>
    <row r="101" ht="10.5">
      <c r="M101" s="8"/>
    </row>
    <row r="102" ht="10.5">
      <c r="M102" s="8"/>
    </row>
    <row r="103" ht="10.5">
      <c r="M103" s="8"/>
    </row>
    <row r="104" ht="10.5">
      <c r="M104" s="8"/>
    </row>
    <row r="105" ht="10.5">
      <c r="M105" s="8"/>
    </row>
    <row r="106" ht="10.5">
      <c r="M106" s="8"/>
    </row>
    <row r="107" ht="10.5">
      <c r="M107" s="8"/>
    </row>
    <row r="108" ht="10.5">
      <c r="M108" s="8"/>
    </row>
    <row r="109" ht="10.5">
      <c r="M109" s="8"/>
    </row>
    <row r="110" ht="10.5">
      <c r="M110" s="8"/>
    </row>
    <row r="111" ht="10.5">
      <c r="M111" s="8"/>
    </row>
    <row r="112" ht="10.5">
      <c r="M112" s="8"/>
    </row>
    <row r="113" ht="10.5">
      <c r="M113" s="8"/>
    </row>
    <row r="114" ht="10.5">
      <c r="M114" s="8"/>
    </row>
    <row r="115" ht="10.5">
      <c r="M115" s="8"/>
    </row>
    <row r="116" ht="10.5">
      <c r="M116" s="8"/>
    </row>
    <row r="117" ht="10.5">
      <c r="M117" s="8"/>
    </row>
    <row r="118" ht="10.5">
      <c r="M118" s="8"/>
    </row>
    <row r="119" ht="10.5">
      <c r="M119" s="8"/>
    </row>
    <row r="120" ht="10.5">
      <c r="M120" s="8"/>
    </row>
    <row r="121" ht="10.5">
      <c r="M121" s="8"/>
    </row>
    <row r="122" ht="10.5">
      <c r="M122" s="8"/>
    </row>
    <row r="123" ht="10.5">
      <c r="M123" s="8"/>
    </row>
    <row r="124" ht="10.5">
      <c r="M124" s="8"/>
    </row>
    <row r="125" ht="10.5">
      <c r="M125" s="8"/>
    </row>
    <row r="126" ht="10.5">
      <c r="M126" s="8"/>
    </row>
    <row r="127" ht="10.5">
      <c r="M127" s="8"/>
    </row>
    <row r="128" ht="10.5">
      <c r="M128" s="8"/>
    </row>
    <row r="129" ht="10.5">
      <c r="M129" s="8"/>
    </row>
    <row r="130" ht="10.5">
      <c r="M130" s="8"/>
    </row>
    <row r="131" ht="10.5">
      <c r="M131" s="8"/>
    </row>
    <row r="132" ht="10.5">
      <c r="M132" s="8"/>
    </row>
    <row r="133" ht="10.5">
      <c r="M133" s="8"/>
    </row>
    <row r="134" ht="10.5">
      <c r="M134" s="8"/>
    </row>
    <row r="135" ht="10.5">
      <c r="M135" s="8"/>
    </row>
    <row r="136" ht="10.5">
      <c r="M136" s="8"/>
    </row>
    <row r="137" ht="10.5">
      <c r="M137" s="8"/>
    </row>
    <row r="138" ht="10.5">
      <c r="M138" s="8"/>
    </row>
    <row r="139" ht="10.5">
      <c r="M139" s="8"/>
    </row>
    <row r="140" ht="10.5">
      <c r="M140" s="8"/>
    </row>
    <row r="141" ht="10.5">
      <c r="M141" s="8"/>
    </row>
    <row r="142" ht="10.5">
      <c r="M142" s="8"/>
    </row>
    <row r="143" ht="10.5">
      <c r="M143" s="8"/>
    </row>
    <row r="144" ht="10.5">
      <c r="M144" s="8"/>
    </row>
    <row r="145" ht="10.5">
      <c r="M145" s="8"/>
    </row>
    <row r="146" ht="10.5">
      <c r="M146" s="8"/>
    </row>
    <row r="147" ht="10.5">
      <c r="M147" s="8"/>
    </row>
    <row r="148" ht="10.5">
      <c r="M148" s="8"/>
    </row>
    <row r="149" ht="10.5">
      <c r="M149" s="8"/>
    </row>
    <row r="150" ht="10.5">
      <c r="M150" s="8"/>
    </row>
    <row r="151" ht="10.5">
      <c r="M151" s="8"/>
    </row>
    <row r="152" ht="10.5">
      <c r="M152" s="8"/>
    </row>
    <row r="153" ht="10.5">
      <c r="M153" s="8"/>
    </row>
    <row r="154" ht="10.5">
      <c r="M154" s="8"/>
    </row>
    <row r="155" ht="10.5">
      <c r="M155" s="8"/>
    </row>
    <row r="156" ht="10.5">
      <c r="M156" s="8"/>
    </row>
    <row r="157" ht="10.5">
      <c r="M157" s="8"/>
    </row>
    <row r="158" ht="10.5">
      <c r="M158" s="8"/>
    </row>
    <row r="159" ht="10.5">
      <c r="M159" s="8"/>
    </row>
    <row r="160" ht="10.5">
      <c r="M160" s="8"/>
    </row>
    <row r="161" ht="10.5">
      <c r="M161" s="8"/>
    </row>
    <row r="162" ht="10.5">
      <c r="M162" s="8"/>
    </row>
    <row r="163" ht="10.5">
      <c r="M163" s="8"/>
    </row>
    <row r="164" ht="10.5">
      <c r="M164" s="8"/>
    </row>
    <row r="165" ht="10.5">
      <c r="M165" s="8"/>
    </row>
    <row r="166" ht="10.5">
      <c r="M166" s="8"/>
    </row>
    <row r="167" ht="10.5">
      <c r="M167" s="8"/>
    </row>
    <row r="168" ht="10.5">
      <c r="M168" s="8"/>
    </row>
    <row r="169" ht="10.5">
      <c r="M169" s="8"/>
    </row>
    <row r="170" ht="10.5">
      <c r="M170" s="8"/>
    </row>
    <row r="171" ht="10.5">
      <c r="M171" s="8"/>
    </row>
    <row r="172" ht="10.5">
      <c r="M172" s="8"/>
    </row>
    <row r="173" ht="10.5">
      <c r="M173" s="8"/>
    </row>
    <row r="174" ht="10.5">
      <c r="M174" s="8"/>
    </row>
    <row r="175" ht="10.5">
      <c r="M175" s="8"/>
    </row>
    <row r="176" ht="10.5">
      <c r="M176" s="8"/>
    </row>
    <row r="177" ht="10.5">
      <c r="M177" s="8"/>
    </row>
    <row r="178" ht="10.5">
      <c r="M178" s="8"/>
    </row>
    <row r="179" ht="10.5">
      <c r="M179" s="8"/>
    </row>
    <row r="180" ht="10.5">
      <c r="M180" s="8"/>
    </row>
    <row r="181" ht="10.5">
      <c r="M181" s="8"/>
    </row>
    <row r="182" ht="10.5">
      <c r="M182" s="8"/>
    </row>
    <row r="183" ht="10.5">
      <c r="M183" s="8"/>
    </row>
    <row r="184" ht="10.5">
      <c r="M184" s="8"/>
    </row>
    <row r="185" ht="10.5">
      <c r="M185" s="8"/>
    </row>
    <row r="186" ht="10.5">
      <c r="M186" s="8"/>
    </row>
    <row r="187" ht="10.5">
      <c r="M187" s="8"/>
    </row>
    <row r="188" ht="10.5">
      <c r="M188" s="8"/>
    </row>
    <row r="189" ht="10.5">
      <c r="M189" s="8"/>
    </row>
    <row r="190" ht="10.5">
      <c r="M190" s="8"/>
    </row>
    <row r="191" ht="10.5">
      <c r="M191" s="8"/>
    </row>
    <row r="192" ht="10.5">
      <c r="M192" s="8"/>
    </row>
    <row r="193" ht="10.5">
      <c r="M193" s="8"/>
    </row>
    <row r="194" ht="10.5">
      <c r="M194" s="8"/>
    </row>
    <row r="195" ht="10.5">
      <c r="M195" s="8"/>
    </row>
    <row r="196" ht="10.5">
      <c r="M196" s="8"/>
    </row>
    <row r="197" ht="10.5">
      <c r="M197" s="8"/>
    </row>
    <row r="198" ht="10.5">
      <c r="M198" s="8"/>
    </row>
    <row r="199" ht="10.5">
      <c r="M199" s="8"/>
    </row>
    <row r="200" ht="10.5">
      <c r="M200" s="8"/>
    </row>
    <row r="201" ht="10.5">
      <c r="M201" s="8"/>
    </row>
    <row r="202" ht="10.5">
      <c r="M202" s="8"/>
    </row>
    <row r="203" ht="10.5">
      <c r="M203" s="8"/>
    </row>
    <row r="204" ht="10.5">
      <c r="M204" s="8"/>
    </row>
    <row r="205" ht="10.5">
      <c r="M205" s="8"/>
    </row>
    <row r="206" ht="10.5">
      <c r="M206" s="8"/>
    </row>
    <row r="207" ht="10.5">
      <c r="M207" s="8"/>
    </row>
    <row r="208" ht="10.5">
      <c r="M208" s="8"/>
    </row>
    <row r="209" ht="10.5">
      <c r="M209" s="8"/>
    </row>
    <row r="210" ht="10.5">
      <c r="M210" s="8"/>
    </row>
    <row r="211" ht="10.5">
      <c r="M211" s="8"/>
    </row>
    <row r="212" ht="10.5">
      <c r="M212" s="8"/>
    </row>
    <row r="213" ht="10.5">
      <c r="M213" s="8"/>
    </row>
    <row r="214" ht="10.5">
      <c r="M214" s="8"/>
    </row>
    <row r="215" ht="10.5">
      <c r="M215" s="8"/>
    </row>
    <row r="216" ht="10.5">
      <c r="M216" s="8"/>
    </row>
    <row r="217" ht="10.5">
      <c r="M217" s="8"/>
    </row>
    <row r="218" ht="10.5">
      <c r="M218" s="8"/>
    </row>
    <row r="219" ht="10.5">
      <c r="M219" s="8"/>
    </row>
    <row r="220" ht="10.5">
      <c r="M220" s="8"/>
    </row>
    <row r="221" ht="10.5">
      <c r="M221" s="8"/>
    </row>
    <row r="222" ht="10.5">
      <c r="M222" s="8"/>
    </row>
    <row r="223" ht="10.5">
      <c r="M223" s="8"/>
    </row>
    <row r="224" ht="10.5">
      <c r="M224" s="8"/>
    </row>
    <row r="225" ht="10.5">
      <c r="M225" s="8"/>
    </row>
    <row r="226" ht="10.5">
      <c r="M226" s="8"/>
    </row>
    <row r="227" ht="10.5">
      <c r="M227" s="8"/>
    </row>
    <row r="228" ht="10.5">
      <c r="M228" s="8"/>
    </row>
    <row r="229" ht="10.5">
      <c r="M229" s="8"/>
    </row>
    <row r="230" ht="10.5">
      <c r="M230" s="8"/>
    </row>
    <row r="231" ht="10.5">
      <c r="M231" s="8"/>
    </row>
    <row r="232" ht="10.5">
      <c r="M232" s="8"/>
    </row>
    <row r="233" ht="10.5">
      <c r="M233" s="8"/>
    </row>
    <row r="234" ht="10.5">
      <c r="M234" s="8"/>
    </row>
    <row r="235" ht="10.5">
      <c r="M235" s="8"/>
    </row>
    <row r="236" ht="10.5">
      <c r="M236" s="8"/>
    </row>
    <row r="237" ht="10.5">
      <c r="M237" s="8"/>
    </row>
    <row r="238" ht="10.5">
      <c r="M238" s="8"/>
    </row>
    <row r="239" ht="10.5">
      <c r="M239" s="8"/>
    </row>
    <row r="240" ht="10.5">
      <c r="M240" s="8"/>
    </row>
    <row r="241" ht="10.5">
      <c r="M241" s="8"/>
    </row>
    <row r="242" ht="10.5">
      <c r="M242" s="8"/>
    </row>
    <row r="243" ht="10.5">
      <c r="M243" s="8"/>
    </row>
    <row r="244" ht="10.5">
      <c r="M244" s="8"/>
    </row>
    <row r="245" ht="10.5">
      <c r="M245" s="8"/>
    </row>
    <row r="246" ht="10.5">
      <c r="M246" s="8"/>
    </row>
    <row r="247" ht="10.5">
      <c r="M247" s="8"/>
    </row>
    <row r="248" ht="10.5">
      <c r="M248" s="8"/>
    </row>
    <row r="249" ht="10.5">
      <c r="M249" s="8"/>
    </row>
    <row r="250" ht="10.5">
      <c r="M250" s="8"/>
    </row>
    <row r="251" ht="10.5">
      <c r="M251" s="8"/>
    </row>
    <row r="252" ht="10.5">
      <c r="M252" s="8"/>
    </row>
    <row r="253" ht="10.5">
      <c r="M253" s="8"/>
    </row>
    <row r="254" ht="10.5">
      <c r="M254" s="8"/>
    </row>
    <row r="255" ht="10.5">
      <c r="M255" s="8"/>
    </row>
    <row r="256" ht="10.5">
      <c r="M256" s="8"/>
    </row>
    <row r="257" ht="10.5">
      <c r="M257" s="8"/>
    </row>
    <row r="258" ht="10.5">
      <c r="M258" s="8"/>
    </row>
    <row r="259" ht="10.5">
      <c r="M259" s="8"/>
    </row>
    <row r="260" ht="10.5">
      <c r="M260" s="8"/>
    </row>
    <row r="261" ht="10.5">
      <c r="M261" s="8"/>
    </row>
    <row r="262" ht="10.5">
      <c r="M262" s="8"/>
    </row>
    <row r="263" ht="10.5">
      <c r="M263" s="8"/>
    </row>
    <row r="264" ht="10.5">
      <c r="M264" s="8"/>
    </row>
    <row r="265" ht="10.5">
      <c r="M265" s="8"/>
    </row>
    <row r="266" ht="10.5">
      <c r="M266" s="8"/>
    </row>
    <row r="267" ht="10.5">
      <c r="M267" s="8"/>
    </row>
    <row r="268" ht="10.5">
      <c r="M268" s="8"/>
    </row>
    <row r="269" ht="10.5">
      <c r="M269" s="8"/>
    </row>
    <row r="270" ht="10.5">
      <c r="M270" s="8"/>
    </row>
    <row r="271" ht="10.5">
      <c r="M271" s="8"/>
    </row>
    <row r="272" ht="10.5">
      <c r="M272" s="8"/>
    </row>
    <row r="273" ht="10.5">
      <c r="M273" s="8"/>
    </row>
    <row r="274" ht="10.5">
      <c r="M274" s="8"/>
    </row>
    <row r="275" ht="10.5">
      <c r="M275" s="8"/>
    </row>
    <row r="276" ht="10.5">
      <c r="M276" s="8"/>
    </row>
    <row r="277" ht="10.5">
      <c r="M277" s="8"/>
    </row>
    <row r="278" ht="10.5">
      <c r="M278" s="8"/>
    </row>
    <row r="279" ht="10.5">
      <c r="M279" s="8"/>
    </row>
    <row r="280" ht="10.5">
      <c r="M280" s="8"/>
    </row>
    <row r="281" ht="10.5">
      <c r="M281" s="8"/>
    </row>
    <row r="282" ht="10.5">
      <c r="M282" s="8"/>
    </row>
    <row r="283" ht="10.5">
      <c r="M283" s="8"/>
    </row>
    <row r="284" ht="10.5">
      <c r="M284" s="8"/>
    </row>
    <row r="285" ht="10.5">
      <c r="M285" s="8"/>
    </row>
    <row r="286" ht="10.5">
      <c r="M286" s="8"/>
    </row>
    <row r="287" ht="10.5">
      <c r="M287" s="8"/>
    </row>
    <row r="288" ht="10.5">
      <c r="M288" s="8"/>
    </row>
    <row r="289" ht="10.5">
      <c r="M289" s="8"/>
    </row>
    <row r="290" ht="10.5">
      <c r="M290" s="8"/>
    </row>
    <row r="291" ht="10.5">
      <c r="M291" s="8"/>
    </row>
    <row r="292" ht="10.5">
      <c r="M292" s="8"/>
    </row>
    <row r="293" ht="10.5">
      <c r="M293" s="8"/>
    </row>
    <row r="294" ht="10.5">
      <c r="M294" s="8"/>
    </row>
    <row r="295" ht="10.5">
      <c r="M295" s="8"/>
    </row>
    <row r="296" ht="10.5">
      <c r="M296" s="8"/>
    </row>
    <row r="297" ht="10.5">
      <c r="M297" s="8"/>
    </row>
    <row r="298" ht="10.5">
      <c r="M298" s="8"/>
    </row>
    <row r="299" ht="10.5">
      <c r="M299" s="8"/>
    </row>
    <row r="300" ht="10.5">
      <c r="M300" s="8"/>
    </row>
    <row r="301" ht="10.5">
      <c r="M301" s="8"/>
    </row>
    <row r="302" ht="10.5">
      <c r="M302" s="8"/>
    </row>
    <row r="303" ht="10.5">
      <c r="M303" s="8"/>
    </row>
    <row r="304" ht="10.5">
      <c r="M304" s="8"/>
    </row>
    <row r="305" ht="10.5">
      <c r="M305" s="8"/>
    </row>
    <row r="306" ht="10.5">
      <c r="M306" s="8"/>
    </row>
    <row r="307" ht="10.5">
      <c r="M307" s="8"/>
    </row>
    <row r="308" ht="10.5">
      <c r="M308" s="8"/>
    </row>
    <row r="309" ht="10.5">
      <c r="M309" s="8"/>
    </row>
    <row r="310" ht="10.5">
      <c r="M310" s="8"/>
    </row>
    <row r="311" ht="10.5">
      <c r="M311" s="8"/>
    </row>
    <row r="312" ht="10.5">
      <c r="M312" s="8"/>
    </row>
    <row r="313" ht="10.5">
      <c r="M313" s="8"/>
    </row>
    <row r="314" ht="10.5">
      <c r="M314" s="8"/>
    </row>
    <row r="315" ht="10.5">
      <c r="M315" s="8"/>
    </row>
    <row r="316" ht="10.5">
      <c r="M316" s="8"/>
    </row>
    <row r="317" ht="10.5">
      <c r="M317" s="8"/>
    </row>
    <row r="318" ht="10.5">
      <c r="M318" s="8"/>
    </row>
    <row r="319" ht="10.5">
      <c r="M319" s="8"/>
    </row>
    <row r="320" ht="10.5">
      <c r="M320" s="8"/>
    </row>
    <row r="321" ht="10.5">
      <c r="M321" s="8"/>
    </row>
    <row r="322" ht="10.5">
      <c r="M322" s="8"/>
    </row>
    <row r="323" ht="10.5">
      <c r="M323" s="8"/>
    </row>
    <row r="324" ht="10.5">
      <c r="M324" s="8"/>
    </row>
    <row r="325" ht="10.5">
      <c r="M325" s="8"/>
    </row>
    <row r="326" ht="10.5">
      <c r="M326" s="8"/>
    </row>
    <row r="327" ht="10.5">
      <c r="M327" s="8"/>
    </row>
    <row r="328" ht="10.5">
      <c r="M328" s="8"/>
    </row>
    <row r="329" ht="10.5">
      <c r="M329" s="8"/>
    </row>
    <row r="330" ht="10.5">
      <c r="M330" s="8"/>
    </row>
    <row r="331" ht="10.5">
      <c r="M331" s="8"/>
    </row>
    <row r="332" ht="10.5">
      <c r="M332" s="8"/>
    </row>
    <row r="333" ht="10.5">
      <c r="M333" s="8"/>
    </row>
    <row r="334" ht="10.5">
      <c r="M334" s="8"/>
    </row>
    <row r="335" ht="10.5">
      <c r="M335" s="8"/>
    </row>
    <row r="336" ht="10.5">
      <c r="M336" s="8"/>
    </row>
    <row r="337" ht="10.5">
      <c r="M337" s="8"/>
    </row>
    <row r="338" ht="10.5">
      <c r="M338" s="8"/>
    </row>
    <row r="339" ht="10.5">
      <c r="M339" s="8"/>
    </row>
    <row r="340" ht="10.5">
      <c r="M340" s="8"/>
    </row>
    <row r="341" ht="10.5">
      <c r="M341" s="8"/>
    </row>
    <row r="342" ht="10.5">
      <c r="M342" s="8"/>
    </row>
    <row r="343" ht="10.5">
      <c r="M343" s="8"/>
    </row>
    <row r="344" ht="10.5">
      <c r="M344" s="8"/>
    </row>
    <row r="345" ht="10.5">
      <c r="M345" s="8"/>
    </row>
    <row r="346" ht="10.5">
      <c r="M346" s="8"/>
    </row>
    <row r="347" ht="10.5">
      <c r="M347" s="8"/>
    </row>
    <row r="348" ht="10.5">
      <c r="M348" s="8"/>
    </row>
    <row r="349" ht="10.5">
      <c r="M349" s="8"/>
    </row>
    <row r="350" ht="10.5">
      <c r="M350" s="8"/>
    </row>
    <row r="351" ht="10.5">
      <c r="M351" s="8"/>
    </row>
    <row r="352" ht="10.5">
      <c r="M352" s="8"/>
    </row>
    <row r="353" ht="10.5">
      <c r="M353" s="8"/>
    </row>
    <row r="354" ht="10.5">
      <c r="M354" s="8"/>
    </row>
    <row r="355" ht="10.5">
      <c r="M355" s="8"/>
    </row>
    <row r="356" ht="10.5">
      <c r="M356" s="8"/>
    </row>
    <row r="357" ht="10.5">
      <c r="M357" s="8"/>
    </row>
    <row r="358" ht="10.5">
      <c r="M358" s="8"/>
    </row>
    <row r="359" ht="10.5">
      <c r="M359" s="8"/>
    </row>
    <row r="360" ht="10.5">
      <c r="M360" s="8"/>
    </row>
    <row r="361" ht="10.5">
      <c r="M361" s="8"/>
    </row>
    <row r="362" ht="10.5">
      <c r="M362" s="8"/>
    </row>
    <row r="363" ht="10.5">
      <c r="M363" s="8"/>
    </row>
    <row r="364" ht="10.5">
      <c r="M364" s="8"/>
    </row>
    <row r="365" ht="10.5">
      <c r="M365" s="8"/>
    </row>
    <row r="366" ht="10.5">
      <c r="M366" s="8"/>
    </row>
    <row r="367" ht="10.5">
      <c r="M367" s="8"/>
    </row>
    <row r="368" ht="10.5">
      <c r="M368" s="8"/>
    </row>
    <row r="369" ht="10.5">
      <c r="M369" s="8"/>
    </row>
    <row r="370" ht="10.5">
      <c r="M370" s="8"/>
    </row>
    <row r="371" ht="10.5">
      <c r="M371" s="8"/>
    </row>
    <row r="372" ht="10.5">
      <c r="M372" s="8"/>
    </row>
    <row r="373" ht="10.5">
      <c r="M373" s="8"/>
    </row>
    <row r="374" ht="10.5">
      <c r="M374" s="8"/>
    </row>
    <row r="375" ht="10.5">
      <c r="M375" s="8"/>
    </row>
    <row r="376" ht="10.5">
      <c r="M376" s="8"/>
    </row>
    <row r="377" ht="10.5">
      <c r="M377" s="8"/>
    </row>
    <row r="378" ht="10.5">
      <c r="M378" s="8"/>
    </row>
    <row r="379" ht="10.5">
      <c r="M379" s="8"/>
    </row>
    <row r="380" ht="10.5">
      <c r="M380" s="8"/>
    </row>
    <row r="381" ht="10.5">
      <c r="M381" s="8"/>
    </row>
    <row r="382" ht="10.5">
      <c r="M382" s="8"/>
    </row>
    <row r="383" ht="10.5">
      <c r="M383" s="8"/>
    </row>
    <row r="384" ht="10.5">
      <c r="M384" s="8"/>
    </row>
    <row r="385" ht="10.5">
      <c r="M385" s="8"/>
    </row>
    <row r="386" ht="10.5">
      <c r="M386" s="8"/>
    </row>
    <row r="387" ht="10.5">
      <c r="M387" s="8"/>
    </row>
    <row r="388" ht="10.5">
      <c r="M388" s="8"/>
    </row>
    <row r="389" ht="10.5">
      <c r="M389" s="8"/>
    </row>
    <row r="390" ht="10.5">
      <c r="M390" s="8"/>
    </row>
    <row r="391" ht="10.5">
      <c r="M391" s="8"/>
    </row>
    <row r="392" ht="10.5">
      <c r="M392" s="8"/>
    </row>
    <row r="393" ht="10.5">
      <c r="M393" s="8"/>
    </row>
    <row r="394" ht="10.5">
      <c r="M394" s="8"/>
    </row>
    <row r="395" ht="10.5">
      <c r="M395" s="8"/>
    </row>
    <row r="396" ht="10.5">
      <c r="M396" s="8"/>
    </row>
    <row r="397" ht="10.5">
      <c r="M397" s="8"/>
    </row>
    <row r="398" ht="10.5">
      <c r="M398" s="8"/>
    </row>
    <row r="399" ht="10.5">
      <c r="M399" s="8"/>
    </row>
    <row r="400" ht="10.5">
      <c r="M400" s="8"/>
    </row>
    <row r="401" ht="10.5">
      <c r="M401" s="8"/>
    </row>
    <row r="402" ht="10.5">
      <c r="M402" s="8"/>
    </row>
    <row r="403" ht="10.5">
      <c r="M403" s="8"/>
    </row>
    <row r="404" ht="10.5">
      <c r="M404" s="8"/>
    </row>
    <row r="405" ht="10.5">
      <c r="M405" s="8"/>
    </row>
    <row r="406" ht="10.5">
      <c r="M406" s="8"/>
    </row>
    <row r="407" ht="10.5">
      <c r="M407" s="8"/>
    </row>
    <row r="408" ht="10.5">
      <c r="M408" s="8"/>
    </row>
    <row r="409" ht="10.5">
      <c r="M409" s="8"/>
    </row>
    <row r="410" ht="10.5">
      <c r="M410" s="8"/>
    </row>
    <row r="411" ht="10.5">
      <c r="M411" s="8"/>
    </row>
    <row r="412" ht="10.5">
      <c r="M412" s="8"/>
    </row>
    <row r="413" ht="10.5">
      <c r="M413" s="8"/>
    </row>
    <row r="414" ht="10.5">
      <c r="M414" s="8"/>
    </row>
    <row r="415" ht="10.5">
      <c r="M415" s="8"/>
    </row>
    <row r="416" ht="10.5">
      <c r="M416" s="8"/>
    </row>
    <row r="417" ht="10.5">
      <c r="M417" s="8"/>
    </row>
    <row r="418" ht="10.5">
      <c r="M418" s="8"/>
    </row>
    <row r="419" ht="10.5">
      <c r="M419" s="8"/>
    </row>
    <row r="420" ht="10.5">
      <c r="M420" s="8"/>
    </row>
    <row r="421" ht="10.5">
      <c r="M421" s="8"/>
    </row>
    <row r="422" ht="10.5">
      <c r="M422" s="8"/>
    </row>
    <row r="423" ht="10.5">
      <c r="M423" s="8"/>
    </row>
    <row r="424" ht="10.5">
      <c r="M424" s="8"/>
    </row>
    <row r="425" ht="10.5">
      <c r="M425" s="8"/>
    </row>
    <row r="426" ht="10.5">
      <c r="M426" s="8"/>
    </row>
    <row r="427" ht="10.5">
      <c r="M427" s="8"/>
    </row>
    <row r="428" ht="10.5">
      <c r="M428" s="8"/>
    </row>
    <row r="429" ht="10.5">
      <c r="M429" s="8"/>
    </row>
    <row r="430" ht="10.5">
      <c r="M430" s="8"/>
    </row>
    <row r="431" ht="10.5">
      <c r="M431" s="8"/>
    </row>
    <row r="432" ht="10.5">
      <c r="M432" s="8"/>
    </row>
    <row r="433" ht="10.5">
      <c r="M433" s="8"/>
    </row>
    <row r="434" ht="10.5">
      <c r="M434" s="8"/>
    </row>
    <row r="435" ht="10.5">
      <c r="M435" s="8"/>
    </row>
    <row r="436" ht="10.5">
      <c r="M436" s="8"/>
    </row>
    <row r="437" ht="10.5">
      <c r="M437" s="8"/>
    </row>
    <row r="438" ht="10.5">
      <c r="M438" s="8"/>
    </row>
    <row r="439" ht="10.5">
      <c r="M439" s="8"/>
    </row>
    <row r="440" ht="10.5">
      <c r="M440" s="8"/>
    </row>
    <row r="441" ht="10.5">
      <c r="M441" s="8"/>
    </row>
    <row r="442" ht="10.5">
      <c r="M442" s="8"/>
    </row>
    <row r="443" ht="10.5">
      <c r="M443" s="8"/>
    </row>
    <row r="444" ht="10.5">
      <c r="M444" s="8"/>
    </row>
    <row r="445" ht="10.5">
      <c r="M445" s="8"/>
    </row>
    <row r="446" ht="10.5">
      <c r="M446" s="8"/>
    </row>
    <row r="447" ht="10.5">
      <c r="M447" s="8"/>
    </row>
    <row r="448" ht="10.5">
      <c r="M448" s="8"/>
    </row>
    <row r="449" ht="10.5">
      <c r="M449" s="8"/>
    </row>
    <row r="450" ht="10.5">
      <c r="M450" s="8"/>
    </row>
    <row r="451" ht="10.5">
      <c r="M451" s="8"/>
    </row>
    <row r="452" ht="10.5">
      <c r="M452" s="8"/>
    </row>
    <row r="453" ht="10.5">
      <c r="M453" s="8"/>
    </row>
    <row r="454" ht="10.5">
      <c r="M454" s="8"/>
    </row>
    <row r="455" ht="10.5">
      <c r="M455" s="8"/>
    </row>
    <row r="456" ht="10.5">
      <c r="M456" s="8"/>
    </row>
    <row r="457" ht="10.5">
      <c r="M457" s="8"/>
    </row>
    <row r="458" ht="10.5">
      <c r="M458" s="8"/>
    </row>
    <row r="459" ht="10.5">
      <c r="M459" s="8"/>
    </row>
    <row r="460" ht="10.5">
      <c r="M460" s="8"/>
    </row>
    <row r="461" ht="10.5">
      <c r="M461" s="8"/>
    </row>
    <row r="462" ht="10.5">
      <c r="M462" s="8"/>
    </row>
    <row r="463" ht="10.5">
      <c r="M463" s="8"/>
    </row>
    <row r="464" ht="10.5">
      <c r="M464" s="8"/>
    </row>
    <row r="465" ht="10.5">
      <c r="M465" s="8"/>
    </row>
    <row r="466" ht="10.5">
      <c r="M466" s="8"/>
    </row>
    <row r="467" ht="10.5">
      <c r="M467" s="8"/>
    </row>
    <row r="468" ht="10.5">
      <c r="M468" s="8"/>
    </row>
    <row r="469" ht="10.5">
      <c r="M469" s="8"/>
    </row>
    <row r="470" ht="10.5">
      <c r="M470" s="8"/>
    </row>
    <row r="471" ht="10.5">
      <c r="M471" s="8"/>
    </row>
    <row r="472" ht="10.5">
      <c r="M472" s="8"/>
    </row>
    <row r="473" ht="10.5">
      <c r="M473" s="8"/>
    </row>
    <row r="474" ht="10.5">
      <c r="M474" s="8"/>
    </row>
    <row r="475" ht="10.5">
      <c r="M475" s="8"/>
    </row>
    <row r="476" ht="10.5">
      <c r="M476" s="8"/>
    </row>
    <row r="477" ht="10.5">
      <c r="M477" s="8"/>
    </row>
    <row r="478" ht="10.5">
      <c r="M478" s="8"/>
    </row>
    <row r="479" ht="10.5">
      <c r="M479" s="8"/>
    </row>
    <row r="480" ht="10.5">
      <c r="M480" s="8"/>
    </row>
    <row r="481" ht="10.5">
      <c r="M481" s="8"/>
    </row>
    <row r="482" ht="10.5">
      <c r="M482" s="8"/>
    </row>
    <row r="483" ht="10.5">
      <c r="M483" s="8"/>
    </row>
    <row r="484" ht="10.5">
      <c r="M484" s="8"/>
    </row>
    <row r="485" ht="10.5">
      <c r="M485" s="8"/>
    </row>
    <row r="486" ht="10.5">
      <c r="M486" s="8"/>
    </row>
    <row r="487" ht="10.5">
      <c r="M487" s="8"/>
    </row>
    <row r="488" ht="10.5">
      <c r="M488" s="8"/>
    </row>
    <row r="489" ht="10.5">
      <c r="M489" s="8"/>
    </row>
    <row r="490" ht="10.5">
      <c r="M490" s="8"/>
    </row>
    <row r="491" ht="10.5">
      <c r="M491" s="8"/>
    </row>
    <row r="492" ht="10.5">
      <c r="M492" s="8"/>
    </row>
    <row r="493" ht="10.5">
      <c r="M493" s="8"/>
    </row>
    <row r="494" ht="10.5">
      <c r="M494" s="8"/>
    </row>
    <row r="495" ht="10.5">
      <c r="M495" s="8"/>
    </row>
    <row r="496" ht="10.5">
      <c r="M496" s="8"/>
    </row>
    <row r="497" ht="10.5">
      <c r="M497" s="8"/>
    </row>
    <row r="498" ht="10.5">
      <c r="M498" s="8"/>
    </row>
    <row r="499" ht="10.5">
      <c r="M499" s="8"/>
    </row>
    <row r="500" ht="10.5">
      <c r="M500" s="8"/>
    </row>
    <row r="501" ht="10.5">
      <c r="M501" s="8"/>
    </row>
    <row r="502" ht="10.5">
      <c r="M502" s="8"/>
    </row>
    <row r="503" ht="10.5">
      <c r="M503" s="8"/>
    </row>
    <row r="504" ht="10.5">
      <c r="M504" s="8"/>
    </row>
    <row r="505" ht="10.5">
      <c r="M505" s="8"/>
    </row>
    <row r="506" ht="10.5">
      <c r="M506" s="8"/>
    </row>
    <row r="507" ht="10.5">
      <c r="M507" s="8"/>
    </row>
    <row r="508" ht="10.5">
      <c r="M508" s="8"/>
    </row>
    <row r="509" ht="10.5">
      <c r="M509" s="8"/>
    </row>
    <row r="510" ht="10.5">
      <c r="M510" s="8"/>
    </row>
    <row r="511" ht="10.5">
      <c r="M511" s="8"/>
    </row>
    <row r="512" ht="10.5">
      <c r="M512" s="8"/>
    </row>
    <row r="513" ht="10.5">
      <c r="M513" s="8"/>
    </row>
    <row r="514" ht="10.5">
      <c r="M514" s="8"/>
    </row>
    <row r="515" ht="10.5">
      <c r="M515" s="8"/>
    </row>
    <row r="516" ht="10.5">
      <c r="M516" s="8"/>
    </row>
    <row r="517" ht="10.5">
      <c r="M517" s="8"/>
    </row>
    <row r="518" ht="10.5">
      <c r="M518" s="8"/>
    </row>
    <row r="519" ht="10.5">
      <c r="M519" s="8"/>
    </row>
    <row r="520" ht="10.5">
      <c r="M520" s="8"/>
    </row>
    <row r="521" ht="10.5">
      <c r="M521" s="8"/>
    </row>
    <row r="522" ht="10.5">
      <c r="M522" s="8"/>
    </row>
    <row r="523" ht="10.5">
      <c r="M523" s="8"/>
    </row>
    <row r="524" ht="10.5">
      <c r="M524" s="8"/>
    </row>
    <row r="525" ht="10.5">
      <c r="M525" s="8"/>
    </row>
    <row r="526" ht="10.5">
      <c r="M526" s="8"/>
    </row>
    <row r="527" ht="10.5">
      <c r="M527" s="8"/>
    </row>
    <row r="528" ht="10.5">
      <c r="M528" s="8"/>
    </row>
    <row r="529" ht="10.5">
      <c r="M529" s="8"/>
    </row>
    <row r="530" ht="10.5">
      <c r="M530" s="8"/>
    </row>
    <row r="531" ht="10.5">
      <c r="M531" s="8"/>
    </row>
    <row r="532" ht="10.5">
      <c r="M532" s="8"/>
    </row>
    <row r="533" ht="10.5">
      <c r="M533" s="8"/>
    </row>
    <row r="534" ht="10.5">
      <c r="M534" s="8"/>
    </row>
    <row r="535" ht="10.5">
      <c r="M535" s="8"/>
    </row>
    <row r="536" ht="10.5">
      <c r="M536" s="8"/>
    </row>
    <row r="537" ht="10.5">
      <c r="M537" s="8"/>
    </row>
    <row r="538" ht="10.5">
      <c r="M538" s="8"/>
    </row>
    <row r="539" ht="10.5">
      <c r="M539" s="8"/>
    </row>
    <row r="540" ht="10.5">
      <c r="M540" s="8"/>
    </row>
    <row r="541" ht="10.5">
      <c r="M541" s="8"/>
    </row>
    <row r="542" ht="10.5">
      <c r="M542" s="8"/>
    </row>
    <row r="543" ht="10.5">
      <c r="M543" s="8"/>
    </row>
    <row r="544" ht="10.5">
      <c r="M544" s="8"/>
    </row>
    <row r="545" ht="10.5">
      <c r="M545" s="8"/>
    </row>
    <row r="546" ht="10.5">
      <c r="M546" s="8"/>
    </row>
    <row r="547" ht="10.5">
      <c r="M547" s="8"/>
    </row>
    <row r="548" ht="10.5">
      <c r="M548" s="8"/>
    </row>
    <row r="549" ht="10.5">
      <c r="M549" s="8"/>
    </row>
    <row r="550" ht="10.5">
      <c r="M550" s="8"/>
    </row>
    <row r="551" ht="10.5">
      <c r="M551" s="8"/>
    </row>
    <row r="552" ht="10.5">
      <c r="M552" s="8"/>
    </row>
    <row r="553" ht="10.5">
      <c r="M553" s="8"/>
    </row>
    <row r="554" ht="10.5">
      <c r="M554" s="8"/>
    </row>
    <row r="555" ht="10.5">
      <c r="M555" s="8"/>
    </row>
    <row r="556" ht="10.5">
      <c r="M556" s="8"/>
    </row>
    <row r="557" ht="10.5">
      <c r="M557" s="8"/>
    </row>
    <row r="558" ht="10.5">
      <c r="M558" s="8"/>
    </row>
    <row r="559" ht="10.5">
      <c r="M559" s="8"/>
    </row>
    <row r="560" ht="10.5">
      <c r="M560" s="8"/>
    </row>
    <row r="561" ht="10.5">
      <c r="M561" s="8"/>
    </row>
    <row r="562" ht="10.5">
      <c r="M562" s="8"/>
    </row>
    <row r="563" ht="10.5">
      <c r="M563" s="8"/>
    </row>
    <row r="564" ht="10.5">
      <c r="M564" s="8"/>
    </row>
    <row r="565" ht="10.5">
      <c r="M565" s="8"/>
    </row>
    <row r="566" ht="10.5">
      <c r="M566" s="8"/>
    </row>
    <row r="567" ht="10.5">
      <c r="M567" s="8"/>
    </row>
    <row r="568" ht="10.5">
      <c r="M568" s="8"/>
    </row>
    <row r="569" ht="10.5">
      <c r="M569" s="8"/>
    </row>
    <row r="570" ht="10.5">
      <c r="M570" s="8"/>
    </row>
    <row r="571" ht="10.5">
      <c r="M571" s="8"/>
    </row>
    <row r="572" ht="10.5">
      <c r="M572" s="8"/>
    </row>
    <row r="573" ht="10.5">
      <c r="M573" s="8"/>
    </row>
    <row r="574" ht="10.5">
      <c r="M574" s="8"/>
    </row>
    <row r="575" ht="10.5">
      <c r="M575" s="8"/>
    </row>
    <row r="576" ht="10.5">
      <c r="M576" s="8"/>
    </row>
    <row r="577" ht="10.5">
      <c r="M577" s="8"/>
    </row>
    <row r="578" ht="10.5">
      <c r="M578" s="8"/>
    </row>
    <row r="579" ht="10.5">
      <c r="M579" s="8"/>
    </row>
    <row r="580" ht="10.5">
      <c r="M580" s="8"/>
    </row>
    <row r="581" ht="10.5">
      <c r="M581" s="8"/>
    </row>
    <row r="582" ht="10.5">
      <c r="M582" s="8"/>
    </row>
    <row r="583" ht="10.5">
      <c r="M583" s="8"/>
    </row>
    <row r="584" ht="10.5">
      <c r="M584" s="8"/>
    </row>
    <row r="585" ht="10.5">
      <c r="M585" s="8"/>
    </row>
    <row r="586" ht="10.5">
      <c r="M586" s="8"/>
    </row>
    <row r="587" ht="10.5">
      <c r="M587" s="8"/>
    </row>
    <row r="588" ht="10.5">
      <c r="M588" s="8"/>
    </row>
    <row r="589" ht="10.5">
      <c r="M589" s="8"/>
    </row>
    <row r="590" ht="10.5">
      <c r="M590" s="8"/>
    </row>
    <row r="591" ht="10.5">
      <c r="M591" s="8"/>
    </row>
    <row r="592" ht="10.5">
      <c r="M592" s="8"/>
    </row>
    <row r="593" ht="10.5">
      <c r="M593" s="8"/>
    </row>
    <row r="594" ht="10.5">
      <c r="M594" s="8"/>
    </row>
    <row r="595" ht="10.5">
      <c r="M595" s="8"/>
    </row>
    <row r="596" ht="10.5">
      <c r="M596" s="8"/>
    </row>
    <row r="597" ht="10.5">
      <c r="M597" s="8"/>
    </row>
    <row r="598" ht="10.5">
      <c r="M598" s="8"/>
    </row>
    <row r="599" ht="10.5">
      <c r="M599" s="8"/>
    </row>
    <row r="600" ht="10.5">
      <c r="M600" s="8"/>
    </row>
    <row r="601" ht="10.5">
      <c r="M601" s="8"/>
    </row>
    <row r="602" ht="10.5">
      <c r="M602" s="8"/>
    </row>
    <row r="603" ht="10.5">
      <c r="M603" s="8"/>
    </row>
    <row r="604" ht="10.5">
      <c r="M604" s="8"/>
    </row>
    <row r="605" ht="10.5">
      <c r="M605" s="8"/>
    </row>
    <row r="606" ht="10.5">
      <c r="M606" s="8"/>
    </row>
  </sheetData>
  <printOptions/>
  <pageMargins left="0.7" right="0.7" top="0.32" bottom="0.32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5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18.7109375" style="73" customWidth="1"/>
    <col min="2" max="2" width="17.7109375" style="73" customWidth="1"/>
    <col min="3" max="3" width="13.7109375" style="73" customWidth="1"/>
    <col min="4" max="4" width="1.7109375" style="73" customWidth="1"/>
    <col min="5" max="6" width="14.7109375" style="98" customWidth="1"/>
    <col min="7" max="8" width="1.7109375" style="98" customWidth="1"/>
    <col min="9" max="9" width="13.7109375" style="100" customWidth="1"/>
    <col min="10" max="10" width="1.7109375" style="98" customWidth="1"/>
    <col min="11" max="11" width="13.7109375" style="98" customWidth="1"/>
    <col min="12" max="12" width="1.7109375" style="98" customWidth="1"/>
    <col min="13" max="13" width="13.7109375" style="98" customWidth="1"/>
    <col min="14" max="33" width="10.7109375" style="73" customWidth="1"/>
    <col min="34" max="16384" width="9.140625" style="73" customWidth="1"/>
  </cols>
  <sheetData>
    <row r="1" spans="1:13" ht="11.25">
      <c r="A1" s="68" t="s">
        <v>129</v>
      </c>
      <c r="B1" s="69"/>
      <c r="C1" s="70"/>
      <c r="D1" s="69"/>
      <c r="E1" s="405" t="str">
        <f>Cover!A11</f>
        <v>男　鹿　ゴ　ル　フ　ク　ラ　ブ</v>
      </c>
      <c r="F1" s="405"/>
      <c r="G1" s="69"/>
      <c r="H1" s="69"/>
      <c r="I1" s="71"/>
      <c r="J1" s="69"/>
      <c r="K1" s="69"/>
      <c r="L1" s="69"/>
      <c r="M1" s="72"/>
    </row>
    <row r="2" spans="1:13" ht="11.25">
      <c r="A2" s="74" t="s">
        <v>56</v>
      </c>
      <c r="B2" s="112">
        <f>Audit!A24</f>
        <v>37580</v>
      </c>
      <c r="C2" s="76"/>
      <c r="D2" s="77"/>
      <c r="E2" s="76"/>
      <c r="F2" s="76"/>
      <c r="G2" s="76"/>
      <c r="H2" s="76"/>
      <c r="I2" s="78"/>
      <c r="J2" s="76"/>
      <c r="K2" s="76"/>
      <c r="L2" s="76"/>
      <c r="M2" s="79"/>
    </row>
    <row r="3" spans="1:13" ht="12" thickBot="1">
      <c r="A3" s="74" t="s">
        <v>128</v>
      </c>
      <c r="B3" s="264" t="str">
        <f>'Soil-T'!E3</f>
        <v>TEES</v>
      </c>
      <c r="C3" s="76"/>
      <c r="D3" s="77"/>
      <c r="E3" s="217" t="str">
        <f>'Soil-T'!C5</f>
        <v>#7</v>
      </c>
      <c r="F3" s="217" t="str">
        <f>'Soil-T'!D5</f>
        <v>#15</v>
      </c>
      <c r="G3" s="76"/>
      <c r="H3" s="76"/>
      <c r="I3" s="78"/>
      <c r="J3" s="76"/>
      <c r="K3" s="76"/>
      <c r="L3" s="76"/>
      <c r="M3" s="79"/>
    </row>
    <row r="4" spans="1:13" ht="12.75" customHeight="1">
      <c r="A4" s="237"/>
      <c r="B4" s="238"/>
      <c r="C4" s="239"/>
      <c r="D4" s="238"/>
      <c r="E4" s="239"/>
      <c r="F4" s="239"/>
      <c r="G4" s="239"/>
      <c r="H4" s="239"/>
      <c r="I4" s="255" t="s">
        <v>60</v>
      </c>
      <c r="J4" s="240"/>
      <c r="K4" s="240" t="s">
        <v>61</v>
      </c>
      <c r="L4" s="240"/>
      <c r="M4" s="241"/>
    </row>
    <row r="5" spans="1:13" ht="12.75" customHeight="1">
      <c r="A5" s="242" t="s">
        <v>62</v>
      </c>
      <c r="B5" s="84" t="s">
        <v>63</v>
      </c>
      <c r="C5" s="80"/>
      <c r="D5" s="81"/>
      <c r="E5" s="85" t="str">
        <f>E3</f>
        <v>#7</v>
      </c>
      <c r="F5" s="85" t="str">
        <f>F3</f>
        <v>#15</v>
      </c>
      <c r="G5" s="85" t="s">
        <v>1</v>
      </c>
      <c r="H5" s="85"/>
      <c r="I5" s="256" t="s">
        <v>64</v>
      </c>
      <c r="J5" s="87"/>
      <c r="K5" s="87" t="s">
        <v>65</v>
      </c>
      <c r="L5" s="87" t="s">
        <v>1</v>
      </c>
      <c r="M5" s="243" t="s">
        <v>66</v>
      </c>
    </row>
    <row r="6" spans="1:13" ht="12.75" customHeight="1">
      <c r="A6" s="244" t="s">
        <v>67</v>
      </c>
      <c r="B6" s="77" t="s">
        <v>67</v>
      </c>
      <c r="C6" s="80" t="s">
        <v>68</v>
      </c>
      <c r="D6" s="81"/>
      <c r="E6" s="80">
        <f>'Soil-T'!C7</f>
        <v>14.24</v>
      </c>
      <c r="F6" s="80">
        <f>'Soil-T'!D7</f>
        <v>12.79</v>
      </c>
      <c r="G6" s="90"/>
      <c r="H6" s="80"/>
      <c r="I6" s="257">
        <f>AVERAGE(E6:F6)</f>
        <v>13.515</v>
      </c>
      <c r="J6" s="89"/>
      <c r="K6" s="89">
        <v>10</v>
      </c>
      <c r="L6" s="89"/>
      <c r="M6" s="245">
        <f>(SUM(I6-K6))</f>
        <v>3.5150000000000006</v>
      </c>
    </row>
    <row r="7" spans="1:13" ht="12.75" customHeight="1">
      <c r="A7" s="244" t="s">
        <v>69</v>
      </c>
      <c r="B7" s="77" t="s">
        <v>27</v>
      </c>
      <c r="C7" s="80" t="s">
        <v>70</v>
      </c>
      <c r="D7" s="81"/>
      <c r="E7" s="80">
        <f>'Soil-T'!C6</f>
        <v>6.4</v>
      </c>
      <c r="F7" s="80">
        <f>'Soil-T'!D6</f>
        <v>5.2</v>
      </c>
      <c r="G7" s="90"/>
      <c r="H7" s="80"/>
      <c r="I7" s="257">
        <f>AVERAGE(E7:F7)</f>
        <v>5.800000000000001</v>
      </c>
      <c r="J7" s="89"/>
      <c r="K7" s="89">
        <v>6.5</v>
      </c>
      <c r="L7" s="89"/>
      <c r="M7" s="245">
        <f>(SUM(I7-K7))</f>
        <v>-0.6999999999999993</v>
      </c>
    </row>
    <row r="8" spans="1:13" ht="12.75" customHeight="1">
      <c r="A8" s="244" t="s">
        <v>71</v>
      </c>
      <c r="B8" s="77" t="s">
        <v>72</v>
      </c>
      <c r="C8" s="80" t="s">
        <v>73</v>
      </c>
      <c r="D8" s="81"/>
      <c r="E8" s="80">
        <f>'Soil-T'!C8</f>
        <v>2.06</v>
      </c>
      <c r="F8" s="80">
        <f>'Soil-T'!D8</f>
        <v>2.99</v>
      </c>
      <c r="G8" s="90"/>
      <c r="H8" s="80"/>
      <c r="I8" s="257">
        <f>AVERAGE(E8:F8)</f>
        <v>2.5250000000000004</v>
      </c>
      <c r="J8" s="89"/>
      <c r="K8" s="89">
        <v>2.5</v>
      </c>
      <c r="L8" s="89"/>
      <c r="M8" s="245">
        <f>(SUM(I8-K8))</f>
        <v>0.025000000000000355</v>
      </c>
    </row>
    <row r="9" spans="1:13" ht="12.75" customHeight="1">
      <c r="A9" s="244"/>
      <c r="B9" s="77"/>
      <c r="C9" s="76"/>
      <c r="D9" s="77"/>
      <c r="E9" s="76"/>
      <c r="F9" s="76"/>
      <c r="G9" s="91"/>
      <c r="H9" s="76"/>
      <c r="I9" s="258"/>
      <c r="J9" s="83"/>
      <c r="K9" s="83"/>
      <c r="L9" s="83"/>
      <c r="M9" s="246"/>
    </row>
    <row r="10" spans="1:13" ht="11.25">
      <c r="A10" s="242" t="s">
        <v>74</v>
      </c>
      <c r="B10" s="84" t="s">
        <v>75</v>
      </c>
      <c r="C10" s="76"/>
      <c r="D10" s="77"/>
      <c r="E10" s="76"/>
      <c r="F10" s="76"/>
      <c r="G10" s="91"/>
      <c r="H10" s="76"/>
      <c r="I10" s="258"/>
      <c r="J10" s="83"/>
      <c r="K10" s="83"/>
      <c r="L10" s="83"/>
      <c r="M10" s="246"/>
    </row>
    <row r="11" spans="1:13" ht="11.25">
      <c r="A11" s="244" t="s">
        <v>76</v>
      </c>
      <c r="B11" s="77" t="s">
        <v>77</v>
      </c>
      <c r="C11" s="80" t="s">
        <v>78</v>
      </c>
      <c r="D11" s="81"/>
      <c r="E11" s="82">
        <f>'Soil-T'!C54</f>
        <v>6.351966821757122</v>
      </c>
      <c r="F11" s="82">
        <f>'Soil-T'!D54</f>
        <v>8.330448290829013</v>
      </c>
      <c r="G11" s="90"/>
      <c r="H11" s="80"/>
      <c r="I11" s="257">
        <f>AVERAGE(E11:F11)</f>
        <v>7.341207556293067</v>
      </c>
      <c r="J11" s="89"/>
      <c r="K11" s="88">
        <v>3.15</v>
      </c>
      <c r="L11" s="89"/>
      <c r="M11" s="245">
        <f>(SUM(I11-K11))</f>
        <v>4.191207556293067</v>
      </c>
    </row>
    <row r="12" spans="1:13" ht="11.25">
      <c r="A12" s="244" t="s">
        <v>79</v>
      </c>
      <c r="B12" s="77" t="s">
        <v>80</v>
      </c>
      <c r="C12" s="80" t="s">
        <v>28</v>
      </c>
      <c r="D12" s="81"/>
      <c r="E12" s="80">
        <f>'Soil-T'!C15</f>
        <v>52</v>
      </c>
      <c r="F12" s="80">
        <f>'Soil-T'!D15</f>
        <v>34</v>
      </c>
      <c r="G12" s="90"/>
      <c r="H12" s="80"/>
      <c r="I12" s="257">
        <f>AVERAGE(E12:F12)</f>
        <v>43</v>
      </c>
      <c r="J12" s="89"/>
      <c r="K12" s="88">
        <v>3.15</v>
      </c>
      <c r="L12" s="89"/>
      <c r="M12" s="245">
        <f>(SUM(I12-K12))</f>
        <v>39.85</v>
      </c>
    </row>
    <row r="13" spans="1:13" ht="11.25">
      <c r="A13" s="244" t="s">
        <v>81</v>
      </c>
      <c r="B13" s="77" t="s">
        <v>82</v>
      </c>
      <c r="C13" s="80" t="s">
        <v>78</v>
      </c>
      <c r="D13" s="81"/>
      <c r="E13" s="82">
        <f>'Soil-T'!C56</f>
        <v>46.75464103227783</v>
      </c>
      <c r="F13" s="82">
        <f>'Soil-T'!D56</f>
        <v>172.12788780925447</v>
      </c>
      <c r="G13" s="90" t="s">
        <v>1</v>
      </c>
      <c r="H13" s="80"/>
      <c r="I13" s="257">
        <f>AVERAGE(E13:F13)</f>
        <v>109.44126442076615</v>
      </c>
      <c r="J13" s="89"/>
      <c r="K13" s="88">
        <v>31.25</v>
      </c>
      <c r="L13" s="89"/>
      <c r="M13" s="245">
        <f>(SUM(I13-K13))</f>
        <v>78.19126442076615</v>
      </c>
    </row>
    <row r="14" spans="1:13" ht="11.25">
      <c r="A14" s="244" t="s">
        <v>83</v>
      </c>
      <c r="B14" s="77" t="s">
        <v>82</v>
      </c>
      <c r="C14" s="80" t="s">
        <v>78</v>
      </c>
      <c r="D14" s="81"/>
      <c r="E14" s="82">
        <f>'Soil-T'!C57</f>
        <v>64.35271304665412</v>
      </c>
      <c r="F14" s="82">
        <f>'Soil-T'!D57</f>
        <v>89.65644973004724</v>
      </c>
      <c r="G14" s="90"/>
      <c r="H14" s="80"/>
      <c r="I14" s="257">
        <f>AVERAGE(E14:F14)</f>
        <v>77.00458138835069</v>
      </c>
      <c r="J14" s="89"/>
      <c r="K14" s="88">
        <v>36.5</v>
      </c>
      <c r="L14" s="89"/>
      <c r="M14" s="245">
        <f>(SUM(I14-K14))</f>
        <v>40.50458138835069</v>
      </c>
    </row>
    <row r="15" spans="1:13" ht="11.25">
      <c r="A15" s="244"/>
      <c r="B15" s="77"/>
      <c r="C15" s="76"/>
      <c r="D15" s="77"/>
      <c r="E15" s="76"/>
      <c r="F15" s="76"/>
      <c r="G15" s="91"/>
      <c r="H15" s="76"/>
      <c r="I15" s="258"/>
      <c r="J15" s="83"/>
      <c r="K15" s="83"/>
      <c r="L15" s="83"/>
      <c r="M15" s="246"/>
    </row>
    <row r="16" spans="1:13" ht="11.25">
      <c r="A16" s="242" t="s">
        <v>84</v>
      </c>
      <c r="B16" s="84" t="s">
        <v>85</v>
      </c>
      <c r="C16" s="76"/>
      <c r="D16" s="77"/>
      <c r="E16" s="76"/>
      <c r="F16" s="76"/>
      <c r="G16" s="91"/>
      <c r="H16" s="76"/>
      <c r="I16" s="258"/>
      <c r="J16" s="83"/>
      <c r="K16" s="83"/>
      <c r="L16" s="83"/>
      <c r="M16" s="246"/>
    </row>
    <row r="17" spans="1:13" ht="11.25">
      <c r="A17" s="244" t="s">
        <v>30</v>
      </c>
      <c r="B17" s="77" t="s">
        <v>31</v>
      </c>
      <c r="C17" s="80" t="s">
        <v>78</v>
      </c>
      <c r="D17" s="81"/>
      <c r="E17" s="82">
        <f>'Soil-T'!C59</f>
        <v>314.8909453933366</v>
      </c>
      <c r="F17" s="82">
        <f>'Soil-T'!D59</f>
        <v>165.77592098749736</v>
      </c>
      <c r="G17" s="90"/>
      <c r="H17" s="80"/>
      <c r="I17" s="257">
        <f>AVERAGE(E17:F17)</f>
        <v>240.333433190417</v>
      </c>
      <c r="J17" s="89"/>
      <c r="K17" s="88">
        <f>'Soil-T'!F59</f>
        <v>382.792429411884</v>
      </c>
      <c r="L17" s="89"/>
      <c r="M17" s="245">
        <f>(SUM(I17-K17))</f>
        <v>-142.45899622146698</v>
      </c>
    </row>
    <row r="18" spans="1:13" ht="11.25">
      <c r="A18" s="244" t="s">
        <v>33</v>
      </c>
      <c r="B18" s="77" t="s">
        <v>34</v>
      </c>
      <c r="C18" s="80" t="s">
        <v>78</v>
      </c>
      <c r="D18" s="81"/>
      <c r="E18" s="82">
        <f>'Soil-T'!C60</f>
        <v>86.42840101735099</v>
      </c>
      <c r="F18" s="82">
        <f>'Soil-T'!D60</f>
        <v>46.65051042864247</v>
      </c>
      <c r="G18" s="90"/>
      <c r="H18" s="80"/>
      <c r="I18" s="257">
        <f>AVERAGE(E18:F18)</f>
        <v>66.53945572299673</v>
      </c>
      <c r="J18" s="89"/>
      <c r="K18" s="88">
        <f>'Soil-T'!F60</f>
        <v>50.66370389274934</v>
      </c>
      <c r="L18" s="89"/>
      <c r="M18" s="245">
        <f>(SUM(I18-K18))</f>
        <v>15.875751830247395</v>
      </c>
    </row>
    <row r="19" spans="1:13" ht="11.25">
      <c r="A19" s="244" t="s">
        <v>36</v>
      </c>
      <c r="B19" s="77" t="s">
        <v>37</v>
      </c>
      <c r="C19" s="80" t="s">
        <v>78</v>
      </c>
      <c r="D19" s="81"/>
      <c r="E19" s="82">
        <f>'Soil-T'!C61</f>
        <v>73.72446737383676</v>
      </c>
      <c r="F19" s="82">
        <f>'Soil-T'!D61</f>
        <v>71.01707167931733</v>
      </c>
      <c r="G19" s="90"/>
      <c r="H19" s="80"/>
      <c r="I19" s="257">
        <f>AVERAGE(E19:F19)</f>
        <v>72.37076952657705</v>
      </c>
      <c r="J19" s="89"/>
      <c r="K19" s="88">
        <f>'Soil-T'!F61</f>
        <v>54.885679217145125</v>
      </c>
      <c r="L19" s="89"/>
      <c r="M19" s="245">
        <f>(SUM(I19-K19))</f>
        <v>17.485090309431925</v>
      </c>
    </row>
    <row r="20" spans="1:13" ht="11.25">
      <c r="A20" s="244" t="s">
        <v>39</v>
      </c>
      <c r="B20" s="77" t="s">
        <v>40</v>
      </c>
      <c r="C20" s="80" t="s">
        <v>78</v>
      </c>
      <c r="D20" s="81"/>
      <c r="E20" s="82">
        <f>'Soil-T'!C62</f>
        <v>15.411329338033672</v>
      </c>
      <c r="F20" s="82">
        <f>'Soil-T'!D62</f>
        <v>8.955231912641187</v>
      </c>
      <c r="G20" s="90"/>
      <c r="H20" s="80"/>
      <c r="I20" s="257">
        <f>AVERAGE(E20:F20)</f>
        <v>12.18328062533743</v>
      </c>
      <c r="J20" s="89"/>
      <c r="K20" s="88">
        <f>'Soil-T'!F62</f>
        <v>19.561819003033776</v>
      </c>
      <c r="L20" s="89"/>
      <c r="M20" s="245">
        <f>(SUM(I20-K20))</f>
        <v>-7.378538377696346</v>
      </c>
    </row>
    <row r="21" spans="1:13" ht="11.25">
      <c r="A21" s="244"/>
      <c r="B21" s="77"/>
      <c r="C21" s="76"/>
      <c r="D21" s="77"/>
      <c r="E21" s="76"/>
      <c r="F21" s="76"/>
      <c r="G21" s="91"/>
      <c r="H21" s="76"/>
      <c r="I21" s="258"/>
      <c r="J21" s="83"/>
      <c r="K21" s="83"/>
      <c r="L21" s="83"/>
      <c r="M21" s="246"/>
    </row>
    <row r="22" spans="1:13" ht="11.25">
      <c r="A22" s="242" t="s">
        <v>86</v>
      </c>
      <c r="B22" s="84" t="s">
        <v>87</v>
      </c>
      <c r="C22" s="76"/>
      <c r="D22" s="77"/>
      <c r="E22" s="76"/>
      <c r="F22" s="76"/>
      <c r="G22" s="91"/>
      <c r="H22" s="76"/>
      <c r="I22" s="258"/>
      <c r="J22" s="83"/>
      <c r="K22" s="83"/>
      <c r="L22" s="83"/>
      <c r="M22" s="246"/>
    </row>
    <row r="23" spans="1:13" ht="11.25">
      <c r="A23" s="244" t="s">
        <v>30</v>
      </c>
      <c r="B23" s="77" t="s">
        <v>31</v>
      </c>
      <c r="C23" s="80" t="s">
        <v>73</v>
      </c>
      <c r="D23" s="81"/>
      <c r="E23" s="113">
        <f>'Soil-T'!C32</f>
        <v>0.5308988764044944</v>
      </c>
      <c r="F23" s="113">
        <f>'Soil-T'!D32</f>
        <v>0.31118060985144647</v>
      </c>
      <c r="G23" s="114"/>
      <c r="H23" s="113"/>
      <c r="I23" s="266">
        <f>AVERAGE(E23:F23)</f>
        <v>0.42103974312797043</v>
      </c>
      <c r="J23" s="115"/>
      <c r="K23" s="115">
        <v>0.68</v>
      </c>
      <c r="L23" s="89"/>
      <c r="M23" s="247">
        <f>(SUM(I23-K23))</f>
        <v>-0.2589602568720296</v>
      </c>
    </row>
    <row r="24" spans="1:13" ht="11.25">
      <c r="A24" s="244" t="s">
        <v>33</v>
      </c>
      <c r="B24" s="77" t="s">
        <v>34</v>
      </c>
      <c r="C24" s="94" t="s">
        <v>73</v>
      </c>
      <c r="D24" s="95"/>
      <c r="E24" s="113">
        <f>'Soil-T'!C33</f>
        <v>0.24286048689138579</v>
      </c>
      <c r="F24" s="113">
        <f>'Soil-T'!D33</f>
        <v>0.14594735470419598</v>
      </c>
      <c r="G24" s="116"/>
      <c r="H24" s="117"/>
      <c r="I24" s="266">
        <f>AVERAGE(E24:F24)</f>
        <v>0.1944039207977909</v>
      </c>
      <c r="J24" s="118"/>
      <c r="K24" s="118">
        <v>0.15</v>
      </c>
      <c r="L24" s="119"/>
      <c r="M24" s="247">
        <f>(SUM(I24-K24))</f>
        <v>0.0444039207977909</v>
      </c>
    </row>
    <row r="25" spans="1:13" ht="11.25">
      <c r="A25" s="244" t="s">
        <v>36</v>
      </c>
      <c r="B25" s="77" t="s">
        <v>37</v>
      </c>
      <c r="C25" s="80" t="s">
        <v>73</v>
      </c>
      <c r="D25" s="81"/>
      <c r="E25" s="113">
        <f>'Soil-T'!C34</f>
        <v>0.06374243733794295</v>
      </c>
      <c r="F25" s="113">
        <f>'Soil-T'!D34</f>
        <v>0.0683627032336962</v>
      </c>
      <c r="G25" s="114"/>
      <c r="H25" s="113"/>
      <c r="I25" s="266">
        <f>AVERAGE(E25:F25)</f>
        <v>0.06605257028581957</v>
      </c>
      <c r="J25" s="115"/>
      <c r="K25" s="115">
        <v>0.05</v>
      </c>
      <c r="L25" s="89"/>
      <c r="M25" s="247">
        <f>(SUM(I25-K25))</f>
        <v>0.016052570285819565</v>
      </c>
    </row>
    <row r="26" spans="1:13" ht="11.25">
      <c r="A26" s="244" t="s">
        <v>39</v>
      </c>
      <c r="B26" s="77" t="s">
        <v>40</v>
      </c>
      <c r="C26" s="80" t="s">
        <v>73</v>
      </c>
      <c r="D26" s="81"/>
      <c r="E26" s="113">
        <f>'Soil-T'!C35</f>
        <v>0.007477164335946973</v>
      </c>
      <c r="F26" s="113">
        <f>'Soil-T'!D35</f>
        <v>0.004837412321901666</v>
      </c>
      <c r="G26" s="114"/>
      <c r="H26" s="113"/>
      <c r="I26" s="266">
        <f>AVERAGE(E26:F26)</f>
        <v>0.0061572883289243195</v>
      </c>
      <c r="J26" s="115"/>
      <c r="K26" s="115">
        <v>0.01</v>
      </c>
      <c r="L26" s="89"/>
      <c r="M26" s="247">
        <f>(SUM(I26-K26))</f>
        <v>-0.0038427116710756807</v>
      </c>
    </row>
    <row r="27" spans="1:13" ht="11.25">
      <c r="A27" s="244"/>
      <c r="B27" s="77"/>
      <c r="C27" s="76"/>
      <c r="D27" s="77"/>
      <c r="E27" s="76"/>
      <c r="F27" s="76"/>
      <c r="G27" s="91"/>
      <c r="H27" s="76"/>
      <c r="I27" s="258"/>
      <c r="J27" s="83"/>
      <c r="K27" s="83"/>
      <c r="L27" s="83"/>
      <c r="M27" s="246"/>
    </row>
    <row r="28" spans="1:13" ht="11.25">
      <c r="A28" s="242" t="s">
        <v>88</v>
      </c>
      <c r="B28" s="84" t="s">
        <v>89</v>
      </c>
      <c r="C28" s="76"/>
      <c r="D28" s="77"/>
      <c r="E28" s="76"/>
      <c r="F28" s="76"/>
      <c r="G28" s="91"/>
      <c r="H28" s="76"/>
      <c r="I28" s="258"/>
      <c r="J28" s="83"/>
      <c r="K28" s="83"/>
      <c r="L28" s="83"/>
      <c r="M28" s="246"/>
    </row>
    <row r="29" spans="1:13" ht="11.25">
      <c r="A29" s="244" t="s">
        <v>90</v>
      </c>
      <c r="B29" s="77" t="s">
        <v>91</v>
      </c>
      <c r="C29" s="80" t="s">
        <v>28</v>
      </c>
      <c r="D29" s="81"/>
      <c r="E29" s="80">
        <f>'Soil-T'!C38</f>
        <v>0.2</v>
      </c>
      <c r="F29" s="80">
        <f>'Soil-T'!D38</f>
        <v>0.2</v>
      </c>
      <c r="G29" s="90"/>
      <c r="H29" s="80"/>
      <c r="I29" s="257">
        <f aca="true" t="shared" si="0" ref="I29:I34">AVERAGE(E29:F29)</f>
        <v>0.2</v>
      </c>
      <c r="J29" s="89"/>
      <c r="K29" s="97">
        <v>2</v>
      </c>
      <c r="L29" s="89"/>
      <c r="M29" s="245">
        <f aca="true" t="shared" si="1" ref="M29:M34">(SUM(I29-K29))</f>
        <v>-1.8</v>
      </c>
    </row>
    <row r="30" spans="1:13" ht="11.25">
      <c r="A30" s="244" t="s">
        <v>92</v>
      </c>
      <c r="B30" s="77" t="s">
        <v>42</v>
      </c>
      <c r="C30" s="80" t="s">
        <v>28</v>
      </c>
      <c r="D30" s="81"/>
      <c r="E30" s="80">
        <f>'Soil-T'!C39</f>
        <v>164</v>
      </c>
      <c r="F30" s="80">
        <f>'Soil-T'!D39</f>
        <v>339</v>
      </c>
      <c r="G30" s="90"/>
      <c r="H30" s="80"/>
      <c r="I30" s="257">
        <f t="shared" si="0"/>
        <v>251.5</v>
      </c>
      <c r="J30" s="89"/>
      <c r="K30" s="97">
        <v>250</v>
      </c>
      <c r="L30" s="89"/>
      <c r="M30" s="245">
        <f t="shared" si="1"/>
        <v>1.5</v>
      </c>
    </row>
    <row r="31" spans="1:13" ht="11.25">
      <c r="A31" s="244" t="s">
        <v>93</v>
      </c>
      <c r="B31" s="77" t="s">
        <v>94</v>
      </c>
      <c r="C31" s="80" t="s">
        <v>28</v>
      </c>
      <c r="D31" s="81"/>
      <c r="E31" s="80">
        <f>'Soil-T'!C40</f>
        <v>43</v>
      </c>
      <c r="F31" s="80">
        <f>'Soil-T'!D40</f>
        <v>29</v>
      </c>
      <c r="G31" s="90"/>
      <c r="H31" s="80"/>
      <c r="I31" s="257">
        <f t="shared" si="0"/>
        <v>36</v>
      </c>
      <c r="J31" s="89"/>
      <c r="K31" s="97">
        <v>60</v>
      </c>
      <c r="L31" s="89"/>
      <c r="M31" s="245">
        <f t="shared" si="1"/>
        <v>-24</v>
      </c>
    </row>
    <row r="32" spans="1:13" ht="11.25">
      <c r="A32" s="244" t="s">
        <v>95</v>
      </c>
      <c r="B32" s="77" t="s">
        <v>48</v>
      </c>
      <c r="C32" s="80" t="s">
        <v>28</v>
      </c>
      <c r="D32" s="81"/>
      <c r="E32" s="80">
        <f>'Soil-T'!C41</f>
        <v>1.87</v>
      </c>
      <c r="F32" s="80">
        <f>'Soil-T'!D41</f>
        <v>1.25</v>
      </c>
      <c r="G32" s="90"/>
      <c r="H32" s="80"/>
      <c r="I32" s="257">
        <f t="shared" si="0"/>
        <v>1.56</v>
      </c>
      <c r="J32" s="89"/>
      <c r="K32" s="97">
        <v>3</v>
      </c>
      <c r="L32" s="89"/>
      <c r="M32" s="245">
        <f t="shared" si="1"/>
        <v>-1.44</v>
      </c>
    </row>
    <row r="33" spans="1:13" ht="11.25">
      <c r="A33" s="244" t="s">
        <v>96</v>
      </c>
      <c r="B33" s="77" t="s">
        <v>51</v>
      </c>
      <c r="C33" s="80" t="s">
        <v>28</v>
      </c>
      <c r="D33" s="81"/>
      <c r="E33" s="80">
        <f>'Soil-T'!C42</f>
        <v>2.82</v>
      </c>
      <c r="F33" s="80">
        <f>'Soil-T'!D42</f>
        <v>3.39</v>
      </c>
      <c r="G33" s="90"/>
      <c r="H33" s="80"/>
      <c r="I33" s="257">
        <f t="shared" si="0"/>
        <v>3.105</v>
      </c>
      <c r="J33" s="89"/>
      <c r="K33" s="97">
        <v>12</v>
      </c>
      <c r="L33" s="89"/>
      <c r="M33" s="245">
        <f t="shared" si="1"/>
        <v>-8.895</v>
      </c>
    </row>
    <row r="34" spans="1:13" ht="11.25">
      <c r="A34" s="244" t="s">
        <v>97</v>
      </c>
      <c r="B34" s="77" t="s">
        <v>54</v>
      </c>
      <c r="C34" s="80" t="s">
        <v>28</v>
      </c>
      <c r="D34" s="81"/>
      <c r="E34" s="80">
        <f>'Soil-T'!C43</f>
        <v>1310</v>
      </c>
      <c r="F34" s="80">
        <f>'Soil-T'!D43</f>
        <v>1168</v>
      </c>
      <c r="G34" s="90"/>
      <c r="H34" s="80"/>
      <c r="I34" s="257">
        <f t="shared" si="0"/>
        <v>1239</v>
      </c>
      <c r="J34" s="89"/>
      <c r="K34" s="97">
        <v>400</v>
      </c>
      <c r="L34" s="89"/>
      <c r="M34" s="245">
        <f t="shared" si="1"/>
        <v>839</v>
      </c>
    </row>
    <row r="35" spans="1:13" ht="11.25">
      <c r="A35" s="244" t="s">
        <v>98</v>
      </c>
      <c r="B35" s="77" t="s">
        <v>99</v>
      </c>
      <c r="C35" s="80" t="s">
        <v>28</v>
      </c>
      <c r="D35" s="81"/>
      <c r="E35" s="80"/>
      <c r="F35" s="80"/>
      <c r="G35" s="90"/>
      <c r="H35" s="80"/>
      <c r="I35" s="257"/>
      <c r="J35" s="89"/>
      <c r="K35" s="97" t="s">
        <v>1</v>
      </c>
      <c r="L35" s="89"/>
      <c r="M35" s="248"/>
    </row>
    <row r="36" spans="1:13" ht="11.25">
      <c r="A36" s="244"/>
      <c r="B36" s="77"/>
      <c r="C36" s="76"/>
      <c r="D36" s="77"/>
      <c r="E36" s="76"/>
      <c r="F36" s="76"/>
      <c r="G36" s="91"/>
      <c r="H36" s="76"/>
      <c r="I36" s="258"/>
      <c r="J36" s="83"/>
      <c r="K36" s="83"/>
      <c r="L36" s="83"/>
      <c r="M36" s="246"/>
    </row>
    <row r="37" spans="1:13" ht="11.25">
      <c r="A37" s="242" t="s">
        <v>100</v>
      </c>
      <c r="B37" s="84" t="s">
        <v>101</v>
      </c>
      <c r="C37" s="76"/>
      <c r="D37" s="77"/>
      <c r="E37" s="76"/>
      <c r="F37" s="76"/>
      <c r="G37" s="91"/>
      <c r="H37" s="76"/>
      <c r="I37" s="258"/>
      <c r="J37" s="83"/>
      <c r="K37" s="83"/>
      <c r="L37" s="83"/>
      <c r="M37" s="246"/>
    </row>
    <row r="38" spans="1:13" ht="11.25">
      <c r="A38" s="244" t="s">
        <v>102</v>
      </c>
      <c r="B38" s="77" t="s">
        <v>103</v>
      </c>
      <c r="C38" s="80" t="s">
        <v>28</v>
      </c>
      <c r="D38" s="81"/>
      <c r="E38" s="80">
        <f>'Soil-T'!C11</f>
        <v>1.2</v>
      </c>
      <c r="F38" s="80">
        <f>'Soil-T'!D11</f>
        <v>1.1</v>
      </c>
      <c r="G38" s="90"/>
      <c r="H38" s="80"/>
      <c r="I38" s="257">
        <f>AVERAGE(E38:F38)</f>
        <v>1.15</v>
      </c>
      <c r="J38" s="89"/>
      <c r="K38" s="88">
        <v>20</v>
      </c>
      <c r="L38" s="89"/>
      <c r="M38" s="245">
        <f>(SUM(I38-K38))</f>
        <v>-18.85</v>
      </c>
    </row>
    <row r="39" spans="1:13" ht="12" thickBot="1">
      <c r="A39" s="249" t="s">
        <v>104</v>
      </c>
      <c r="B39" s="250" t="s">
        <v>105</v>
      </c>
      <c r="C39" s="251" t="s">
        <v>28</v>
      </c>
      <c r="D39" s="250"/>
      <c r="E39" s="251">
        <f>'Soil-T'!C12</f>
        <v>14.3</v>
      </c>
      <c r="F39" s="251">
        <f>'Soil-T'!D12</f>
        <v>12.3</v>
      </c>
      <c r="G39" s="265"/>
      <c r="H39" s="251"/>
      <c r="I39" s="260">
        <f>AVERAGE(E39:F39)</f>
        <v>13.3</v>
      </c>
      <c r="J39" s="253"/>
      <c r="K39" s="252">
        <v>5</v>
      </c>
      <c r="L39" s="253"/>
      <c r="M39" s="254">
        <f>(SUM(I39-K39))</f>
        <v>8.3</v>
      </c>
    </row>
    <row r="40" spans="3:7" ht="11.25">
      <c r="C40" s="98"/>
      <c r="G40" s="99"/>
    </row>
    <row r="41" spans="5:13" ht="11.25">
      <c r="E41" s="73"/>
      <c r="F41" s="73"/>
      <c r="G41" s="73"/>
      <c r="H41" s="73"/>
      <c r="I41" s="73"/>
      <c r="J41" s="73"/>
      <c r="K41" s="73"/>
      <c r="L41" s="73"/>
      <c r="M41" s="73"/>
    </row>
    <row r="42" spans="5:13" ht="11.25">
      <c r="E42" s="73"/>
      <c r="F42" s="73"/>
      <c r="G42" s="73"/>
      <c r="H42" s="73"/>
      <c r="I42" s="73"/>
      <c r="J42" s="73"/>
      <c r="K42" s="73"/>
      <c r="L42" s="73"/>
      <c r="M42" s="73"/>
    </row>
    <row r="43" spans="5:13" ht="11.25">
      <c r="E43" s="73"/>
      <c r="F43" s="73"/>
      <c r="G43" s="73"/>
      <c r="H43" s="73"/>
      <c r="I43" s="73"/>
      <c r="J43" s="73"/>
      <c r="K43" s="73"/>
      <c r="L43" s="73"/>
      <c r="M43" s="73"/>
    </row>
    <row r="44" spans="5:13" ht="11.25">
      <c r="E44" s="73"/>
      <c r="F44" s="73"/>
      <c r="G44" s="73"/>
      <c r="H44" s="73"/>
      <c r="I44" s="73"/>
      <c r="J44" s="73"/>
      <c r="K44" s="73"/>
      <c r="L44" s="73"/>
      <c r="M44" s="73"/>
    </row>
    <row r="45" spans="5:13" ht="11.25">
      <c r="E45" s="73"/>
      <c r="F45" s="73"/>
      <c r="G45" s="73"/>
      <c r="H45" s="73"/>
      <c r="I45" s="73"/>
      <c r="J45" s="73"/>
      <c r="K45" s="73"/>
      <c r="L45" s="73"/>
      <c r="M45" s="73"/>
    </row>
    <row r="46" spans="5:13" ht="11.25">
      <c r="E46" s="73"/>
      <c r="F46" s="73"/>
      <c r="G46" s="73"/>
      <c r="H46" s="73"/>
      <c r="I46" s="73"/>
      <c r="J46" s="73"/>
      <c r="K46" s="73"/>
      <c r="L46" s="73"/>
      <c r="M46" s="73"/>
    </row>
    <row r="47" spans="5:13" ht="11.25">
      <c r="E47" s="73"/>
      <c r="F47" s="73"/>
      <c r="G47" s="73"/>
      <c r="H47" s="73"/>
      <c r="I47" s="73"/>
      <c r="J47" s="73"/>
      <c r="K47" s="73"/>
      <c r="L47" s="73"/>
      <c r="M47" s="73"/>
    </row>
    <row r="48" spans="5:13" ht="11.25">
      <c r="E48" s="73"/>
      <c r="F48" s="73"/>
      <c r="G48" s="73"/>
      <c r="H48" s="73"/>
      <c r="I48" s="73"/>
      <c r="J48" s="73"/>
      <c r="K48" s="73"/>
      <c r="L48" s="73"/>
      <c r="M48" s="73"/>
    </row>
    <row r="49" spans="5:13" ht="11.25">
      <c r="E49" s="73"/>
      <c r="F49" s="73"/>
      <c r="G49" s="73"/>
      <c r="H49" s="73"/>
      <c r="I49" s="73"/>
      <c r="J49" s="73"/>
      <c r="K49" s="73"/>
      <c r="L49" s="73"/>
      <c r="M49" s="73"/>
    </row>
    <row r="50" spans="5:13" ht="11.25">
      <c r="E50" s="73"/>
      <c r="F50" s="73"/>
      <c r="G50" s="73"/>
      <c r="H50" s="73"/>
      <c r="I50" s="73"/>
      <c r="J50" s="73"/>
      <c r="K50" s="73"/>
      <c r="L50" s="73"/>
      <c r="M50" s="73"/>
    </row>
    <row r="51" spans="5:13" ht="11.25">
      <c r="E51" s="73"/>
      <c r="F51" s="73"/>
      <c r="G51" s="73"/>
      <c r="H51" s="73"/>
      <c r="I51" s="73"/>
      <c r="J51" s="73"/>
      <c r="K51" s="73"/>
      <c r="L51" s="73"/>
      <c r="M51" s="73"/>
    </row>
    <row r="52" spans="5:13" ht="11.25">
      <c r="E52" s="73"/>
      <c r="F52" s="73"/>
      <c r="G52" s="73"/>
      <c r="H52" s="73"/>
      <c r="I52" s="73"/>
      <c r="J52" s="73"/>
      <c r="K52" s="73"/>
      <c r="L52" s="73"/>
      <c r="M52" s="73"/>
    </row>
    <row r="53" spans="5:13" ht="11.25">
      <c r="E53" s="73"/>
      <c r="F53" s="73"/>
      <c r="G53" s="73"/>
      <c r="H53" s="73"/>
      <c r="I53" s="73"/>
      <c r="J53" s="73"/>
      <c r="K53" s="73"/>
      <c r="L53" s="73"/>
      <c r="M53" s="73"/>
    </row>
    <row r="54" spans="5:13" ht="11.25">
      <c r="E54" s="73"/>
      <c r="F54" s="73"/>
      <c r="G54" s="73"/>
      <c r="H54" s="73"/>
      <c r="I54" s="73"/>
      <c r="J54" s="73"/>
      <c r="K54" s="73"/>
      <c r="L54" s="73"/>
      <c r="M54" s="73"/>
    </row>
    <row r="55" spans="5:13" ht="11.25">
      <c r="E55" s="73"/>
      <c r="F55" s="73"/>
      <c r="G55" s="73"/>
      <c r="H55" s="73"/>
      <c r="I55" s="73"/>
      <c r="J55" s="73"/>
      <c r="K55" s="73"/>
      <c r="L55" s="73"/>
      <c r="M55" s="73"/>
    </row>
    <row r="56" spans="5:13" ht="11.25">
      <c r="E56" s="73"/>
      <c r="F56" s="73"/>
      <c r="G56" s="73"/>
      <c r="H56" s="73"/>
      <c r="I56" s="73"/>
      <c r="J56" s="73"/>
      <c r="K56" s="73"/>
      <c r="L56" s="73"/>
      <c r="M56" s="73"/>
    </row>
    <row r="57" spans="5:13" ht="11.25">
      <c r="E57" s="73"/>
      <c r="F57" s="73"/>
      <c r="G57" s="73"/>
      <c r="H57" s="73"/>
      <c r="I57" s="73"/>
      <c r="J57" s="73"/>
      <c r="K57" s="73"/>
      <c r="L57" s="73"/>
      <c r="M57" s="73"/>
    </row>
    <row r="58" spans="5:13" ht="11.25">
      <c r="E58" s="73"/>
      <c r="F58" s="73"/>
      <c r="G58" s="73"/>
      <c r="H58" s="73"/>
      <c r="I58" s="73"/>
      <c r="J58" s="73"/>
      <c r="K58" s="73"/>
      <c r="L58" s="73"/>
      <c r="M58" s="73"/>
    </row>
    <row r="59" spans="2:13" ht="11.25">
      <c r="B59" s="77"/>
      <c r="E59" s="73"/>
      <c r="F59" s="73"/>
      <c r="G59" s="73"/>
      <c r="H59" s="73"/>
      <c r="I59" s="73"/>
      <c r="J59" s="73"/>
      <c r="K59" s="73"/>
      <c r="L59" s="73"/>
      <c r="M59" s="73"/>
    </row>
    <row r="60" spans="5:13" ht="11.25">
      <c r="E60" s="73"/>
      <c r="F60" s="73"/>
      <c r="G60" s="73"/>
      <c r="H60" s="73"/>
      <c r="I60" s="73"/>
      <c r="J60" s="73"/>
      <c r="K60" s="73"/>
      <c r="L60" s="73"/>
      <c r="M60" s="73"/>
    </row>
    <row r="61" spans="5:13" ht="11.25">
      <c r="E61" s="73"/>
      <c r="F61" s="73"/>
      <c r="G61" s="73"/>
      <c r="H61" s="73"/>
      <c r="I61" s="73"/>
      <c r="J61" s="73"/>
      <c r="K61" s="73"/>
      <c r="L61" s="73"/>
      <c r="M61" s="73"/>
    </row>
    <row r="62" spans="5:13" ht="11.25">
      <c r="E62" s="73"/>
      <c r="F62" s="73"/>
      <c r="G62" s="73"/>
      <c r="H62" s="73"/>
      <c r="I62" s="73"/>
      <c r="J62" s="73"/>
      <c r="K62" s="73"/>
      <c r="L62" s="73"/>
      <c r="M62" s="73"/>
    </row>
    <row r="63" spans="5:13" ht="11.25">
      <c r="E63" s="73"/>
      <c r="F63" s="73"/>
      <c r="G63" s="73"/>
      <c r="H63" s="73"/>
      <c r="I63" s="73"/>
      <c r="J63" s="73"/>
      <c r="K63" s="73"/>
      <c r="L63" s="73"/>
      <c r="M63" s="73"/>
    </row>
    <row r="64" spans="5:13" ht="11.25">
      <c r="E64" s="73"/>
      <c r="F64" s="73"/>
      <c r="G64" s="73"/>
      <c r="H64" s="73"/>
      <c r="I64" s="73"/>
      <c r="J64" s="73"/>
      <c r="K64" s="73"/>
      <c r="L64" s="73"/>
      <c r="M64" s="73"/>
    </row>
    <row r="65" spans="5:13" ht="11.25">
      <c r="E65" s="73"/>
      <c r="F65" s="73"/>
      <c r="G65" s="73"/>
      <c r="H65" s="73"/>
      <c r="I65" s="73"/>
      <c r="J65" s="73"/>
      <c r="K65" s="73"/>
      <c r="L65" s="73"/>
      <c r="M65" s="73"/>
    </row>
    <row r="66" spans="5:13" ht="11.25">
      <c r="E66" s="73"/>
      <c r="F66" s="73"/>
      <c r="G66" s="73"/>
      <c r="H66" s="73"/>
      <c r="I66" s="73"/>
      <c r="J66" s="73"/>
      <c r="K66" s="73"/>
      <c r="L66" s="73"/>
      <c r="M66" s="73"/>
    </row>
    <row r="67" spans="5:13" ht="11.25">
      <c r="E67" s="73"/>
      <c r="F67" s="73"/>
      <c r="G67" s="73"/>
      <c r="H67" s="73"/>
      <c r="I67" s="73"/>
      <c r="J67" s="73"/>
      <c r="K67" s="73"/>
      <c r="L67" s="73"/>
      <c r="M67" s="73"/>
    </row>
    <row r="68" spans="5:13" ht="11.25">
      <c r="E68" s="73"/>
      <c r="F68" s="73"/>
      <c r="G68" s="73"/>
      <c r="H68" s="73"/>
      <c r="I68" s="73"/>
      <c r="J68" s="73"/>
      <c r="K68" s="73"/>
      <c r="L68" s="73"/>
      <c r="M68" s="73"/>
    </row>
    <row r="69" spans="5:13" ht="11.25">
      <c r="E69" s="73"/>
      <c r="F69" s="73"/>
      <c r="G69" s="73"/>
      <c r="H69" s="73"/>
      <c r="I69" s="73"/>
      <c r="J69" s="73"/>
      <c r="K69" s="73"/>
      <c r="L69" s="73"/>
      <c r="M69" s="73"/>
    </row>
    <row r="70" spans="5:13" ht="11.25">
      <c r="E70" s="73"/>
      <c r="F70" s="73"/>
      <c r="G70" s="73"/>
      <c r="H70" s="73"/>
      <c r="I70" s="73"/>
      <c r="J70" s="73"/>
      <c r="K70" s="73"/>
      <c r="L70" s="73"/>
      <c r="M70" s="73"/>
    </row>
    <row r="71" spans="5:13" ht="11.25">
      <c r="E71" s="73"/>
      <c r="F71" s="73"/>
      <c r="G71" s="73"/>
      <c r="H71" s="73"/>
      <c r="I71" s="73"/>
      <c r="J71" s="73"/>
      <c r="K71" s="73"/>
      <c r="L71" s="73"/>
      <c r="M71" s="73"/>
    </row>
    <row r="72" spans="5:13" ht="11.25">
      <c r="E72" s="73"/>
      <c r="F72" s="73"/>
      <c r="G72" s="73"/>
      <c r="H72" s="73"/>
      <c r="I72" s="73"/>
      <c r="J72" s="73"/>
      <c r="K72" s="73"/>
      <c r="L72" s="73"/>
      <c r="M72" s="73"/>
    </row>
    <row r="73" spans="5:13" ht="11.25">
      <c r="E73" s="73"/>
      <c r="F73" s="73"/>
      <c r="G73" s="73"/>
      <c r="H73" s="73"/>
      <c r="I73" s="73"/>
      <c r="J73" s="73"/>
      <c r="K73" s="73"/>
      <c r="L73" s="73"/>
      <c r="M73" s="73"/>
    </row>
    <row r="74" spans="5:13" ht="11.25">
      <c r="E74" s="73"/>
      <c r="F74" s="73"/>
      <c r="G74" s="73"/>
      <c r="H74" s="73"/>
      <c r="I74" s="73"/>
      <c r="J74" s="73"/>
      <c r="K74" s="73"/>
      <c r="L74" s="73"/>
      <c r="M74" s="73"/>
    </row>
    <row r="75" spans="5:13" ht="11.25">
      <c r="E75" s="73"/>
      <c r="F75" s="73"/>
      <c r="G75" s="73"/>
      <c r="H75" s="73"/>
      <c r="I75" s="73"/>
      <c r="J75" s="73"/>
      <c r="K75" s="73"/>
      <c r="L75" s="73"/>
      <c r="M75" s="73"/>
    </row>
    <row r="76" spans="5:13" ht="11.25">
      <c r="E76" s="73"/>
      <c r="F76" s="73"/>
      <c r="G76" s="73"/>
      <c r="H76" s="73"/>
      <c r="I76" s="73"/>
      <c r="J76" s="73"/>
      <c r="K76" s="73"/>
      <c r="L76" s="73"/>
      <c r="M76" s="73"/>
    </row>
    <row r="77" spans="5:13" ht="11.25">
      <c r="E77" s="73"/>
      <c r="F77" s="73"/>
      <c r="G77" s="73"/>
      <c r="H77" s="73"/>
      <c r="I77" s="73"/>
      <c r="J77" s="73"/>
      <c r="K77" s="73"/>
      <c r="L77" s="73"/>
      <c r="M77" s="73"/>
    </row>
    <row r="78" spans="5:13" ht="11.25">
      <c r="E78" s="73"/>
      <c r="F78" s="73"/>
      <c r="G78" s="73"/>
      <c r="H78" s="73"/>
      <c r="I78" s="73"/>
      <c r="J78" s="73"/>
      <c r="K78" s="73"/>
      <c r="L78" s="73"/>
      <c r="M78" s="73"/>
    </row>
    <row r="79" spans="5:13" ht="11.25">
      <c r="E79" s="73"/>
      <c r="F79" s="73"/>
      <c r="G79" s="73"/>
      <c r="H79" s="73"/>
      <c r="I79" s="73"/>
      <c r="J79" s="73"/>
      <c r="K79" s="73"/>
      <c r="L79" s="73"/>
      <c r="M79" s="73"/>
    </row>
    <row r="80" spans="5:13" ht="11.25">
      <c r="E80" s="73"/>
      <c r="F80" s="73"/>
      <c r="G80" s="73"/>
      <c r="H80" s="73"/>
      <c r="I80" s="73"/>
      <c r="J80" s="73"/>
      <c r="K80" s="73"/>
      <c r="L80" s="73"/>
      <c r="M80" s="73"/>
    </row>
    <row r="81" spans="5:13" ht="11.25">
      <c r="E81" s="73"/>
      <c r="F81" s="73"/>
      <c r="G81" s="73"/>
      <c r="H81" s="73"/>
      <c r="I81" s="73"/>
      <c r="J81" s="73"/>
      <c r="K81" s="73"/>
      <c r="L81" s="73"/>
      <c r="M81" s="73"/>
    </row>
    <row r="82" spans="5:13" ht="11.25">
      <c r="E82" s="73"/>
      <c r="F82" s="73"/>
      <c r="G82" s="73"/>
      <c r="H82" s="73"/>
      <c r="I82" s="73"/>
      <c r="J82" s="73"/>
      <c r="K82" s="73"/>
      <c r="L82" s="73"/>
      <c r="M82" s="73"/>
    </row>
    <row r="83" spans="5:13" ht="11.25">
      <c r="E83" s="73"/>
      <c r="F83" s="73"/>
      <c r="G83" s="73"/>
      <c r="H83" s="73"/>
      <c r="I83" s="73"/>
      <c r="J83" s="73"/>
      <c r="K83" s="73"/>
      <c r="L83" s="73"/>
      <c r="M83" s="73"/>
    </row>
    <row r="84" spans="5:13" ht="11.25">
      <c r="E84" s="73"/>
      <c r="F84" s="73"/>
      <c r="G84" s="73"/>
      <c r="H84" s="73"/>
      <c r="I84" s="73"/>
      <c r="J84" s="73"/>
      <c r="K84" s="73"/>
      <c r="L84" s="73"/>
      <c r="M84" s="73"/>
    </row>
    <row r="85" spans="5:13" ht="11.25">
      <c r="E85" s="73"/>
      <c r="F85" s="73"/>
      <c r="G85" s="73"/>
      <c r="H85" s="73"/>
      <c r="I85" s="73"/>
      <c r="J85" s="73"/>
      <c r="K85" s="73"/>
      <c r="L85" s="73"/>
      <c r="M85" s="73"/>
    </row>
    <row r="86" spans="5:13" ht="11.25">
      <c r="E86" s="73"/>
      <c r="F86" s="73"/>
      <c r="G86" s="73"/>
      <c r="H86" s="73"/>
      <c r="I86" s="73"/>
      <c r="J86" s="73"/>
      <c r="K86" s="73"/>
      <c r="L86" s="73"/>
      <c r="M86" s="73"/>
    </row>
    <row r="87" spans="5:13" ht="11.25">
      <c r="E87" s="73"/>
      <c r="F87" s="73"/>
      <c r="G87" s="73"/>
      <c r="H87" s="73"/>
      <c r="I87" s="73"/>
      <c r="J87" s="73"/>
      <c r="K87" s="73"/>
      <c r="L87" s="73"/>
      <c r="M87" s="73"/>
    </row>
    <row r="88" spans="5:13" ht="11.25">
      <c r="E88" s="73"/>
      <c r="F88" s="73"/>
      <c r="G88" s="73"/>
      <c r="H88" s="73"/>
      <c r="I88" s="73"/>
      <c r="J88" s="73"/>
      <c r="K88" s="73"/>
      <c r="L88" s="73"/>
      <c r="M88" s="73"/>
    </row>
    <row r="89" spans="5:13" ht="11.25">
      <c r="E89" s="73"/>
      <c r="F89" s="73"/>
      <c r="G89" s="73"/>
      <c r="H89" s="73"/>
      <c r="I89" s="73"/>
      <c r="J89" s="73"/>
      <c r="K89" s="73"/>
      <c r="L89" s="73"/>
      <c r="M89" s="73"/>
    </row>
    <row r="90" spans="5:13" ht="11.25">
      <c r="E90" s="73"/>
      <c r="F90" s="73"/>
      <c r="G90" s="73"/>
      <c r="H90" s="73"/>
      <c r="I90" s="73"/>
      <c r="J90" s="73"/>
      <c r="K90" s="73"/>
      <c r="L90" s="73"/>
      <c r="M90" s="73"/>
    </row>
    <row r="91" spans="5:13" ht="11.25">
      <c r="E91" s="73"/>
      <c r="F91" s="73"/>
      <c r="G91" s="73"/>
      <c r="H91" s="73"/>
      <c r="I91" s="73"/>
      <c r="J91" s="73"/>
      <c r="K91" s="73"/>
      <c r="L91" s="73"/>
      <c r="M91" s="73"/>
    </row>
    <row r="92" spans="5:13" ht="11.25">
      <c r="E92" s="73"/>
      <c r="F92" s="73"/>
      <c r="G92" s="73"/>
      <c r="H92" s="73"/>
      <c r="I92" s="73"/>
      <c r="J92" s="73"/>
      <c r="K92" s="73"/>
      <c r="L92" s="73"/>
      <c r="M92" s="73"/>
    </row>
    <row r="93" spans="5:13" ht="11.25">
      <c r="E93" s="73"/>
      <c r="F93" s="73"/>
      <c r="G93" s="73"/>
      <c r="H93" s="73"/>
      <c r="I93" s="73"/>
      <c r="J93" s="73"/>
      <c r="K93" s="73"/>
      <c r="L93" s="73"/>
      <c r="M93" s="73"/>
    </row>
    <row r="94" spans="5:13" ht="11.25">
      <c r="E94" s="73"/>
      <c r="F94" s="73"/>
      <c r="G94" s="73"/>
      <c r="H94" s="73"/>
      <c r="I94" s="73"/>
      <c r="J94" s="73"/>
      <c r="K94" s="73"/>
      <c r="L94" s="73"/>
      <c r="M94" s="73"/>
    </row>
    <row r="95" spans="5:13" ht="11.25">
      <c r="E95" s="73"/>
      <c r="F95" s="73"/>
      <c r="G95" s="73"/>
      <c r="H95" s="73"/>
      <c r="I95" s="73"/>
      <c r="J95" s="73"/>
      <c r="K95" s="73"/>
      <c r="L95" s="73"/>
      <c r="M95" s="73"/>
    </row>
    <row r="96" spans="5:13" ht="11.25">
      <c r="E96" s="73"/>
      <c r="F96" s="73"/>
      <c r="G96" s="73"/>
      <c r="H96" s="73"/>
      <c r="I96" s="73"/>
      <c r="J96" s="73"/>
      <c r="K96" s="73"/>
      <c r="L96" s="73"/>
      <c r="M96" s="73"/>
    </row>
    <row r="97" spans="5:13" ht="11.25">
      <c r="E97" s="73"/>
      <c r="F97" s="73"/>
      <c r="G97" s="73"/>
      <c r="H97" s="73"/>
      <c r="I97" s="73"/>
      <c r="J97" s="73"/>
      <c r="K97" s="73"/>
      <c r="L97" s="73"/>
      <c r="M97" s="73"/>
    </row>
    <row r="98" spans="5:13" ht="11.25">
      <c r="E98" s="73"/>
      <c r="F98" s="73"/>
      <c r="G98" s="73"/>
      <c r="H98" s="73"/>
      <c r="I98" s="73"/>
      <c r="J98" s="73"/>
      <c r="K98" s="73"/>
      <c r="L98" s="73"/>
      <c r="M98" s="73"/>
    </row>
    <row r="99" spans="5:13" ht="11.25">
      <c r="E99" s="73"/>
      <c r="F99" s="73"/>
      <c r="G99" s="73"/>
      <c r="H99" s="73"/>
      <c r="I99" s="73"/>
      <c r="J99" s="73"/>
      <c r="K99" s="73"/>
      <c r="L99" s="73"/>
      <c r="M99" s="73"/>
    </row>
    <row r="100" spans="5:13" ht="11.25"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5:13" ht="11.25"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5:13" ht="11.25"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5:13" ht="11.25"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5:13" ht="11.25"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5:13" ht="11.25"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5:13" ht="11.25"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5:13" ht="11.25"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5:13" ht="11.25"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5:13" ht="11.25"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5:13" ht="11.25"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5:13" ht="11.25"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5:13" ht="11.25"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5:13" ht="11.25"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5:13" ht="11.25"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5:13" ht="11.25"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5:13" ht="11.25"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5:13" ht="11.25"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5:13" ht="11.25"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5:13" ht="11.25"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5:13" ht="11.25"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5:13" ht="11.25"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5:13" ht="11.25"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5:13" ht="11.25"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5:13" ht="11.25"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5:13" ht="11.25"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5:13" ht="11.25"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5:13" ht="11.25"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5:13" ht="11.25"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5:13" ht="11.25"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5:13" ht="11.25"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5:13" ht="11.25"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5:13" ht="11.25"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5:13" ht="11.25"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5:13" ht="11.25"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5:13" ht="11.25"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5:13" ht="11.25"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5:13" ht="11.25"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5:13" ht="11.25"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5:13" ht="11.25"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5:13" ht="11.25"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5:13" ht="11.25"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5:13" ht="11.25"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5:13" ht="11.25"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5:13" ht="11.25"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5:13" ht="11.25"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5:13" ht="11.25"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5:13" ht="11.25"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5:13" ht="11.25"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5:13" ht="11.25"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5:13" ht="11.25"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5:13" ht="11.25"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5:13" ht="11.25"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5:13" ht="11.25"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5:13" ht="11.25"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5:13" ht="11.25"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5:13" ht="11.25"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5:13" ht="11.25"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5:13" ht="11.25"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5:13" ht="11.25"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5:13" ht="11.25"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5:13" ht="11.25"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5:13" ht="11.25"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5:13" ht="11.25"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5:13" ht="11.25"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5:13" ht="11.25"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5:13" ht="11.25"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5:13" ht="11.25"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5:13" ht="11.25"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5:13" ht="11.25"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5:13" ht="11.25"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5:13" ht="11.25"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5:13" ht="11.25"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5:13" ht="11.25"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5:13" ht="11.25"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5:13" ht="11.25"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5:13" ht="11.25"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5:13" ht="11.25"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5:13" ht="11.25"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5:13" ht="11.25"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5:13" ht="11.25"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5:13" ht="11.25"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5:13" ht="11.25"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5:13" ht="11.25"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5:13" ht="11.25"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5:13" ht="11.25"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5:13" ht="11.25"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5:13" ht="11.25"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5:13" ht="11.25"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5:13" ht="11.25"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5:13" ht="11.25"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5:13" ht="11.25"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5:13" ht="11.25"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5:13" ht="11.25"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5:13" ht="11.25"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5:13" ht="11.25"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5:13" ht="11.25"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5:13" ht="11.25"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5:13" ht="11.25"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5:13" ht="11.25"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5:13" ht="11.25"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5:13" ht="11.25"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5:13" ht="11.25"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5:13" ht="11.25"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5:13" ht="11.25"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5:13" ht="11.25"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5:13" ht="11.25"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5:13" ht="11.25"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5:13" ht="11.25"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5:13" ht="11.25"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5:13" ht="11.25"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5:13" ht="11.25"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5:13" ht="11.25"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5:13" ht="11.25"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5:13" ht="11.25"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5:13" ht="11.25"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5:13" ht="11.25"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5:13" ht="11.25"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5:13" ht="11.25"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5:13" ht="11.25"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5:13" ht="11.25"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5:13" ht="11.25"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5:13" ht="11.25"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5:13" ht="11.25"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5:13" ht="11.25"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5:13" ht="11.25"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5:13" ht="11.25"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5:13" ht="11.25"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5:13" ht="11.25"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5:13" ht="11.25"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5:13" ht="11.25"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5:13" ht="11.25"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5:13" ht="11.25"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5:13" ht="11.25"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5:13" ht="11.25"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5:13" ht="11.25"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5:13" ht="11.25"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5:13" ht="11.25"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5:13" ht="11.25"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5:13" ht="11.25"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5:13" ht="11.25"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5:13" ht="11.25"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5:13" ht="11.25"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5:13" ht="11.25"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5:13" ht="11.25"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5:13" ht="11.25"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5:13" ht="11.25"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5:13" ht="11.25"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5:13" ht="11.25"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5:13" ht="11.25"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5:13" ht="11.25"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5:13" ht="11.25"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5:13" ht="11.25"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5:13" ht="11.25"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5:13" ht="11.25"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5:13" ht="11.25"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5:13" ht="11.25"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5:13" ht="11.25"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5:13" ht="11.25"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5:13" ht="11.25"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5:13" ht="11.25"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5:13" ht="11.25"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5:13" ht="11.25"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5:13" ht="11.25"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5:13" ht="11.25"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5:13" ht="11.25"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5:13" ht="11.25"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5:13" ht="11.25"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5:13" ht="11.25"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5:13" ht="11.25"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5:13" ht="11.25"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5:13" ht="11.25"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5:13" ht="11.25"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5:13" ht="11.25"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5:13" ht="11.25"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5:13" ht="11.25"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5:13" ht="11.25"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5:13" ht="11.25"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5:13" ht="11.25"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5:13" ht="11.25"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5:13" ht="11.25"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5:13" ht="11.25"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5:13" ht="11.25"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5:13" ht="11.25"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5:13" ht="11.25"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5:13" ht="11.25"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5:13" ht="11.25"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5:13" ht="11.25"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5:13" ht="11.25"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5:13" ht="11.25"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5:13" ht="11.25"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5:13" ht="11.25"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5:13" ht="11.25"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5:13" ht="11.25"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5:13" ht="11.25"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5:13" ht="11.25"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5:13" ht="11.25"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5:13" ht="11.25"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5:13" ht="11.25"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5:13" ht="11.25"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5:13" ht="11.25"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5:13" ht="11.25"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5:13" ht="11.25"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5:13" ht="11.25"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5:13" ht="11.25"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5:13" ht="11.25"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5:13" ht="11.25"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5:13" ht="11.25"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5:13" ht="11.25"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5:13" ht="11.25"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5:13" ht="11.25"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5:13" ht="11.25"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5:13" ht="11.25"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5:13" ht="11.25"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5:13" ht="11.25"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5:13" ht="11.25"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5:13" ht="11.25"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5:13" ht="11.25"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5:13" ht="11.25"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5:13" ht="11.25"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5:13" ht="11.25"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5:13" ht="11.25"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5:13" ht="11.25"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5:13" ht="11.25"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5:13" ht="11.25"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5:13" ht="11.25"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5:13" ht="11.25"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5:13" ht="11.25"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5:13" ht="11.25"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5:13" ht="11.25"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5:13" ht="11.25"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5:13" ht="11.25"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5:13" ht="11.25"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5:13" ht="11.25"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5:13" ht="11.25"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5:13" ht="11.25"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5:13" ht="11.25">
      <c r="E336" s="73"/>
      <c r="F336" s="73"/>
      <c r="G336" s="73"/>
      <c r="H336" s="73"/>
      <c r="I336" s="73"/>
      <c r="J336" s="73"/>
      <c r="K336" s="73"/>
      <c r="L336" s="73"/>
      <c r="M336" s="73"/>
    </row>
    <row r="337" spans="5:13" ht="11.25"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5:13" ht="11.25"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5:13" ht="11.25"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5:13" ht="11.25"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5:13" ht="11.25"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5:13" ht="11.25"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5:13" ht="11.25"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5:13" ht="11.25"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5:13" ht="11.25"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5:13" ht="11.25"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5:13" ht="11.25"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5:13" ht="11.25"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5:13" ht="11.25"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5:13" ht="11.25"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5:13" ht="11.25">
      <c r="E351" s="73"/>
      <c r="F351" s="73"/>
      <c r="G351" s="73"/>
      <c r="H351" s="73"/>
      <c r="I351" s="73"/>
      <c r="J351" s="73"/>
      <c r="K351" s="73"/>
      <c r="L351" s="73"/>
      <c r="M351" s="73"/>
    </row>
    <row r="352" spans="5:13" ht="11.25">
      <c r="E352" s="73"/>
      <c r="F352" s="73"/>
      <c r="G352" s="73"/>
      <c r="H352" s="73"/>
      <c r="I352" s="73"/>
      <c r="J352" s="73"/>
      <c r="K352" s="73"/>
      <c r="L352" s="73"/>
      <c r="M352" s="73"/>
    </row>
    <row r="353" spans="5:13" ht="11.25">
      <c r="E353" s="73"/>
      <c r="F353" s="73"/>
      <c r="G353" s="73"/>
      <c r="H353" s="73"/>
      <c r="I353" s="73"/>
      <c r="J353" s="73"/>
      <c r="K353" s="73"/>
      <c r="L353" s="73"/>
      <c r="M353" s="73"/>
    </row>
    <row r="354" spans="5:13" ht="11.25">
      <c r="E354" s="73"/>
      <c r="F354" s="73"/>
      <c r="G354" s="73"/>
      <c r="H354" s="73"/>
      <c r="I354" s="73"/>
      <c r="J354" s="73"/>
      <c r="K354" s="73"/>
      <c r="L354" s="73"/>
      <c r="M354" s="73"/>
    </row>
    <row r="355" spans="5:13" ht="11.25">
      <c r="E355" s="73"/>
      <c r="F355" s="73"/>
      <c r="G355" s="73"/>
      <c r="H355" s="73"/>
      <c r="I355" s="73"/>
      <c r="J355" s="73"/>
      <c r="K355" s="73"/>
      <c r="L355" s="73"/>
      <c r="M355" s="73"/>
    </row>
    <row r="356" spans="5:13" ht="11.25">
      <c r="E356" s="73"/>
      <c r="F356" s="73"/>
      <c r="G356" s="73"/>
      <c r="H356" s="73"/>
      <c r="I356" s="73"/>
      <c r="J356" s="73"/>
      <c r="K356" s="73"/>
      <c r="L356" s="73"/>
      <c r="M356" s="73"/>
    </row>
    <row r="357" spans="5:13" ht="11.25"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5:13" ht="11.25">
      <c r="E358" s="73"/>
      <c r="F358" s="73"/>
      <c r="G358" s="73"/>
      <c r="H358" s="73"/>
      <c r="I358" s="73"/>
      <c r="J358" s="73"/>
      <c r="K358" s="73"/>
      <c r="L358" s="73"/>
      <c r="M358" s="73"/>
    </row>
    <row r="359" spans="5:13" ht="11.25"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5:13" ht="11.25"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5:13" ht="11.25">
      <c r="E361" s="73"/>
      <c r="F361" s="73"/>
      <c r="G361" s="73"/>
      <c r="H361" s="73"/>
      <c r="I361" s="73"/>
      <c r="J361" s="73"/>
      <c r="K361" s="73"/>
      <c r="L361" s="73"/>
      <c r="M361" s="73"/>
    </row>
    <row r="362" spans="5:13" ht="11.25">
      <c r="E362" s="73"/>
      <c r="F362" s="73"/>
      <c r="G362" s="73"/>
      <c r="H362" s="73"/>
      <c r="I362" s="73"/>
      <c r="J362" s="73"/>
      <c r="K362" s="73"/>
      <c r="L362" s="73"/>
      <c r="M362" s="73"/>
    </row>
    <row r="363" spans="5:13" ht="11.25">
      <c r="E363" s="73"/>
      <c r="F363" s="73"/>
      <c r="G363" s="73"/>
      <c r="H363" s="73"/>
      <c r="I363" s="73"/>
      <c r="J363" s="73"/>
      <c r="K363" s="73"/>
      <c r="L363" s="73"/>
      <c r="M363" s="73"/>
    </row>
    <row r="364" spans="5:13" ht="11.25"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5:13" ht="11.25"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5:13" ht="11.25">
      <c r="E366" s="73"/>
      <c r="F366" s="73"/>
      <c r="G366" s="73"/>
      <c r="H366" s="73"/>
      <c r="I366" s="73"/>
      <c r="J366" s="73"/>
      <c r="K366" s="73"/>
      <c r="L366" s="73"/>
      <c r="M366" s="73"/>
    </row>
    <row r="367" spans="5:13" ht="11.25"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5:13" ht="11.25">
      <c r="E368" s="73"/>
      <c r="F368" s="73"/>
      <c r="G368" s="73"/>
      <c r="H368" s="73"/>
      <c r="I368" s="73"/>
      <c r="J368" s="73"/>
      <c r="K368" s="73"/>
      <c r="L368" s="73"/>
      <c r="M368" s="73"/>
    </row>
    <row r="369" spans="5:13" ht="11.25">
      <c r="E369" s="73"/>
      <c r="F369" s="73"/>
      <c r="G369" s="73"/>
      <c r="H369" s="73"/>
      <c r="I369" s="73"/>
      <c r="J369" s="73"/>
      <c r="K369" s="73"/>
      <c r="L369" s="73"/>
      <c r="M369" s="73"/>
    </row>
    <row r="370" spans="5:13" ht="11.25"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5:13" ht="11.25"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5:13" ht="11.25">
      <c r="E372" s="73"/>
      <c r="F372" s="73"/>
      <c r="G372" s="73"/>
      <c r="H372" s="73"/>
      <c r="I372" s="73"/>
      <c r="J372" s="73"/>
      <c r="K372" s="73"/>
      <c r="L372" s="73"/>
      <c r="M372" s="73"/>
    </row>
    <row r="373" spans="5:13" ht="11.25">
      <c r="E373" s="73"/>
      <c r="F373" s="73"/>
      <c r="G373" s="73"/>
      <c r="H373" s="73"/>
      <c r="I373" s="73"/>
      <c r="J373" s="73"/>
      <c r="K373" s="73"/>
      <c r="L373" s="73"/>
      <c r="M373" s="73"/>
    </row>
    <row r="374" spans="5:13" ht="11.25">
      <c r="E374" s="73"/>
      <c r="F374" s="73"/>
      <c r="G374" s="73"/>
      <c r="H374" s="73"/>
      <c r="I374" s="73"/>
      <c r="J374" s="73"/>
      <c r="K374" s="73"/>
      <c r="L374" s="73"/>
      <c r="M374" s="73"/>
    </row>
    <row r="375" spans="5:13" ht="11.25">
      <c r="E375" s="73"/>
      <c r="F375" s="73"/>
      <c r="G375" s="73"/>
      <c r="H375" s="73"/>
      <c r="I375" s="73"/>
      <c r="J375" s="73"/>
      <c r="K375" s="73"/>
      <c r="L375" s="73"/>
      <c r="M375" s="73"/>
    </row>
    <row r="376" spans="5:13" ht="11.25">
      <c r="E376" s="73"/>
      <c r="F376" s="73"/>
      <c r="G376" s="73"/>
      <c r="H376" s="73"/>
      <c r="I376" s="73"/>
      <c r="J376" s="73"/>
      <c r="K376" s="73"/>
      <c r="L376" s="73"/>
      <c r="M376" s="73"/>
    </row>
    <row r="377" spans="5:13" ht="11.25"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5:13" ht="11.25">
      <c r="E378" s="73"/>
      <c r="F378" s="73"/>
      <c r="G378" s="73"/>
      <c r="H378" s="73"/>
      <c r="I378" s="73"/>
      <c r="J378" s="73"/>
      <c r="K378" s="73"/>
      <c r="L378" s="73"/>
      <c r="M378" s="73"/>
    </row>
    <row r="379" spans="5:13" ht="11.25"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5:13" ht="11.25">
      <c r="E380" s="73"/>
      <c r="F380" s="73"/>
      <c r="G380" s="73"/>
      <c r="H380" s="73"/>
      <c r="I380" s="73"/>
      <c r="J380" s="73"/>
      <c r="K380" s="73"/>
      <c r="L380" s="73"/>
      <c r="M380" s="73"/>
    </row>
    <row r="381" spans="5:13" ht="11.25">
      <c r="E381" s="73"/>
      <c r="F381" s="73"/>
      <c r="G381" s="73"/>
      <c r="H381" s="73"/>
      <c r="I381" s="73"/>
      <c r="J381" s="73"/>
      <c r="K381" s="73"/>
      <c r="L381" s="73"/>
      <c r="M381" s="73"/>
    </row>
    <row r="382" spans="5:13" ht="11.25">
      <c r="E382" s="73"/>
      <c r="F382" s="73"/>
      <c r="G382" s="73"/>
      <c r="H382" s="73"/>
      <c r="I382" s="73"/>
      <c r="J382" s="73"/>
      <c r="K382" s="73"/>
      <c r="L382" s="73"/>
      <c r="M382" s="73"/>
    </row>
    <row r="383" spans="5:13" ht="11.25">
      <c r="E383" s="73"/>
      <c r="F383" s="73"/>
      <c r="G383" s="73"/>
      <c r="H383" s="73"/>
      <c r="I383" s="73"/>
      <c r="J383" s="73"/>
      <c r="K383" s="73"/>
      <c r="L383" s="73"/>
      <c r="M383" s="73"/>
    </row>
    <row r="384" spans="5:13" ht="11.25"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5:13" ht="11.25"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5:13" ht="11.25">
      <c r="E386" s="73"/>
      <c r="F386" s="73"/>
      <c r="G386" s="73"/>
      <c r="H386" s="73"/>
      <c r="I386" s="73"/>
      <c r="J386" s="73"/>
      <c r="K386" s="73"/>
      <c r="L386" s="73"/>
      <c r="M386" s="73"/>
    </row>
    <row r="387" spans="5:13" ht="11.25"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5:13" ht="11.25">
      <c r="E388" s="73"/>
      <c r="F388" s="73"/>
      <c r="G388" s="73"/>
      <c r="H388" s="73"/>
      <c r="I388" s="73"/>
      <c r="J388" s="73"/>
      <c r="K388" s="73"/>
      <c r="L388" s="73"/>
      <c r="M388" s="73"/>
    </row>
    <row r="389" spans="5:13" ht="11.25"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5:13" ht="11.25">
      <c r="E390" s="73"/>
      <c r="F390" s="73"/>
      <c r="G390" s="73"/>
      <c r="H390" s="73"/>
      <c r="I390" s="73"/>
      <c r="J390" s="73"/>
      <c r="K390" s="73"/>
      <c r="L390" s="73"/>
      <c r="M390" s="73"/>
    </row>
    <row r="391" spans="5:13" ht="11.25"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5:13" ht="11.25">
      <c r="E392" s="73"/>
      <c r="F392" s="73"/>
      <c r="G392" s="73"/>
      <c r="H392" s="73"/>
      <c r="I392" s="73"/>
      <c r="J392" s="73"/>
      <c r="K392" s="73"/>
      <c r="L392" s="73"/>
      <c r="M392" s="73"/>
    </row>
    <row r="393" spans="5:13" ht="11.25">
      <c r="E393" s="73"/>
      <c r="F393" s="73"/>
      <c r="G393" s="73"/>
      <c r="H393" s="73"/>
      <c r="I393" s="73"/>
      <c r="J393" s="73"/>
      <c r="K393" s="73"/>
      <c r="L393" s="73"/>
      <c r="M393" s="73"/>
    </row>
    <row r="394" spans="5:13" ht="11.25">
      <c r="E394" s="73"/>
      <c r="F394" s="73"/>
      <c r="G394" s="73"/>
      <c r="H394" s="73"/>
      <c r="I394" s="73"/>
      <c r="J394" s="73"/>
      <c r="K394" s="73"/>
      <c r="L394" s="73"/>
      <c r="M394" s="73"/>
    </row>
    <row r="395" spans="5:13" ht="11.25">
      <c r="E395" s="73"/>
      <c r="F395" s="73"/>
      <c r="G395" s="73"/>
      <c r="H395" s="73"/>
      <c r="I395" s="73"/>
      <c r="J395" s="73"/>
      <c r="K395" s="73"/>
      <c r="L395" s="73"/>
      <c r="M395" s="73"/>
    </row>
    <row r="396" spans="5:13" ht="11.25">
      <c r="E396" s="73"/>
      <c r="F396" s="73"/>
      <c r="G396" s="73"/>
      <c r="H396" s="73"/>
      <c r="I396" s="73"/>
      <c r="J396" s="73"/>
      <c r="K396" s="73"/>
      <c r="L396" s="73"/>
      <c r="M396" s="73"/>
    </row>
    <row r="397" spans="5:13" ht="11.25">
      <c r="E397" s="73"/>
      <c r="F397" s="73"/>
      <c r="G397" s="73"/>
      <c r="H397" s="73"/>
      <c r="I397" s="73"/>
      <c r="J397" s="73"/>
      <c r="K397" s="73"/>
      <c r="L397" s="73"/>
      <c r="M397" s="73"/>
    </row>
    <row r="398" spans="5:13" ht="11.25">
      <c r="E398" s="73"/>
      <c r="F398" s="73"/>
      <c r="G398" s="73"/>
      <c r="H398" s="73"/>
      <c r="I398" s="73"/>
      <c r="J398" s="73"/>
      <c r="K398" s="73"/>
      <c r="L398" s="73"/>
      <c r="M398" s="73"/>
    </row>
    <row r="399" spans="5:13" ht="11.25"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5:13" ht="11.25"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5:13" ht="11.25">
      <c r="E401" s="73"/>
      <c r="F401" s="73"/>
      <c r="G401" s="73"/>
      <c r="H401" s="73"/>
      <c r="I401" s="73"/>
      <c r="J401" s="73"/>
      <c r="K401" s="73"/>
      <c r="L401" s="73"/>
      <c r="M401" s="73"/>
    </row>
    <row r="402" spans="5:13" ht="11.25"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5:13" ht="11.25">
      <c r="E403" s="73"/>
      <c r="F403" s="73"/>
      <c r="G403" s="73"/>
      <c r="H403" s="73"/>
      <c r="I403" s="73"/>
      <c r="J403" s="73"/>
      <c r="K403" s="73"/>
      <c r="L403" s="73"/>
      <c r="M403" s="73"/>
    </row>
    <row r="404" spans="5:13" ht="11.25">
      <c r="E404" s="73"/>
      <c r="F404" s="73"/>
      <c r="G404" s="73"/>
      <c r="H404" s="73"/>
      <c r="I404" s="73"/>
      <c r="J404" s="73"/>
      <c r="K404" s="73"/>
      <c r="L404" s="73"/>
      <c r="M404" s="73"/>
    </row>
    <row r="405" spans="5:13" ht="11.25"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5:13" ht="11.25">
      <c r="E406" s="73"/>
      <c r="F406" s="73"/>
      <c r="G406" s="73"/>
      <c r="H406" s="73"/>
      <c r="I406" s="73"/>
      <c r="J406" s="73"/>
      <c r="K406" s="73"/>
      <c r="L406" s="73"/>
      <c r="M406" s="73"/>
    </row>
    <row r="407" spans="5:13" ht="11.25">
      <c r="E407" s="73"/>
      <c r="F407" s="73"/>
      <c r="G407" s="73"/>
      <c r="H407" s="73"/>
      <c r="I407" s="73"/>
      <c r="J407" s="73"/>
      <c r="K407" s="73"/>
      <c r="L407" s="73"/>
      <c r="M407" s="73"/>
    </row>
    <row r="408" spans="5:13" ht="11.25">
      <c r="E408" s="73"/>
      <c r="F408" s="73"/>
      <c r="G408" s="73"/>
      <c r="H408" s="73"/>
      <c r="I408" s="73"/>
      <c r="J408" s="73"/>
      <c r="K408" s="73"/>
      <c r="L408" s="73"/>
      <c r="M408" s="73"/>
    </row>
    <row r="409" spans="5:13" ht="11.25">
      <c r="E409" s="73"/>
      <c r="F409" s="73"/>
      <c r="G409" s="73"/>
      <c r="H409" s="73"/>
      <c r="I409" s="73"/>
      <c r="J409" s="73"/>
      <c r="K409" s="73"/>
      <c r="L409" s="73"/>
      <c r="M409" s="73"/>
    </row>
    <row r="410" spans="5:13" ht="11.25">
      <c r="E410" s="73"/>
      <c r="F410" s="73"/>
      <c r="G410" s="73"/>
      <c r="H410" s="73"/>
      <c r="I410" s="73"/>
      <c r="J410" s="73"/>
      <c r="K410" s="73"/>
      <c r="L410" s="73"/>
      <c r="M410" s="73"/>
    </row>
    <row r="411" spans="5:13" ht="11.25"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5:13" ht="11.25"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5:13" ht="11.25">
      <c r="E413" s="73"/>
      <c r="F413" s="73"/>
      <c r="G413" s="73"/>
      <c r="H413" s="73"/>
      <c r="I413" s="73"/>
      <c r="J413" s="73"/>
      <c r="K413" s="73"/>
      <c r="L413" s="73"/>
      <c r="M413" s="73"/>
    </row>
    <row r="414" spans="5:13" ht="11.25">
      <c r="E414" s="73"/>
      <c r="F414" s="73"/>
      <c r="G414" s="73"/>
      <c r="H414" s="73"/>
      <c r="I414" s="73"/>
      <c r="J414" s="73"/>
      <c r="K414" s="73"/>
      <c r="L414" s="73"/>
      <c r="M414" s="73"/>
    </row>
    <row r="415" spans="5:13" ht="11.25">
      <c r="E415" s="73"/>
      <c r="F415" s="73"/>
      <c r="G415" s="73"/>
      <c r="H415" s="73"/>
      <c r="I415" s="73"/>
      <c r="J415" s="73"/>
      <c r="K415" s="73"/>
      <c r="L415" s="73"/>
      <c r="M415" s="73"/>
    </row>
  </sheetData>
  <mergeCells count="1">
    <mergeCell ref="E1:F1"/>
  </mergeCells>
  <printOptions/>
  <pageMargins left="0.75" right="0.75" top="0.75" bottom="0.7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6"/>
  <sheetViews>
    <sheetView workbookViewId="0" topLeftCell="A1">
      <selection activeCell="A15" sqref="A15"/>
    </sheetView>
  </sheetViews>
  <sheetFormatPr defaultColWidth="9.140625" defaultRowHeight="12.75"/>
  <cols>
    <col min="1" max="1" width="22.7109375" style="8" customWidth="1"/>
    <col min="2" max="2" width="15.7109375" style="57" customWidth="1"/>
    <col min="3" max="7" width="15.7109375" style="13" customWidth="1"/>
    <col min="8" max="8" width="12.28125" style="58" customWidth="1"/>
    <col min="9" max="9" width="8.57421875" style="59" customWidth="1"/>
    <col min="10" max="10" width="33.7109375" style="57" customWidth="1"/>
    <col min="11" max="11" width="18.7109375" style="8" customWidth="1"/>
    <col min="12" max="12" width="18.140625" style="8" customWidth="1"/>
    <col min="13" max="13" width="14.57421875" style="57" customWidth="1"/>
    <col min="14" max="16384" width="9.140625" style="8" customWidth="1"/>
  </cols>
  <sheetData>
    <row r="1" spans="1:9" s="120" customFormat="1" ht="10.5">
      <c r="A1" s="2" t="s">
        <v>57</v>
      </c>
      <c r="B1" s="3"/>
      <c r="C1" s="4"/>
      <c r="D1" s="4"/>
      <c r="E1" s="4"/>
      <c r="F1" s="4"/>
      <c r="G1" s="101"/>
      <c r="H1" s="155"/>
      <c r="I1" s="156"/>
    </row>
    <row r="2" spans="1:9" s="120" customFormat="1" ht="10.5">
      <c r="A2" s="9" t="s">
        <v>106</v>
      </c>
      <c r="B2" s="10"/>
      <c r="C2" s="11"/>
      <c r="D2" s="12" t="s">
        <v>2</v>
      </c>
      <c r="E2" s="14">
        <f>Audit!A24</f>
        <v>37580</v>
      </c>
      <c r="F2" s="157"/>
      <c r="G2" s="158"/>
      <c r="H2" s="159"/>
      <c r="I2" s="160"/>
    </row>
    <row r="3" spans="1:9" s="120" customFormat="1" ht="10.5">
      <c r="A3" s="9" t="s">
        <v>18</v>
      </c>
      <c r="B3" s="18" t="str">
        <f>Cover!A10</f>
        <v>Oga Golf Club</v>
      </c>
      <c r="C3" s="19"/>
      <c r="D3" s="19" t="s">
        <v>107</v>
      </c>
      <c r="E3" s="10" t="s">
        <v>147</v>
      </c>
      <c r="F3" s="19"/>
      <c r="G3" s="158"/>
      <c r="H3" s="10"/>
      <c r="I3" s="160"/>
    </row>
    <row r="4" spans="1:9" s="120" customFormat="1" ht="4.5" customHeight="1">
      <c r="A4" s="9"/>
      <c r="B4" s="18"/>
      <c r="C4" s="19"/>
      <c r="D4" s="19"/>
      <c r="E4" s="19"/>
      <c r="F4" s="19"/>
      <c r="G4" s="161"/>
      <c r="H4" s="10"/>
      <c r="I4" s="160"/>
    </row>
    <row r="5" spans="1:13" ht="10.5">
      <c r="A5" s="22"/>
      <c r="B5" s="23" t="s">
        <v>108</v>
      </c>
      <c r="C5" s="24" t="s">
        <v>156</v>
      </c>
      <c r="D5" s="24" t="s">
        <v>157</v>
      </c>
      <c r="E5" s="24" t="s">
        <v>64</v>
      </c>
      <c r="F5" s="25" t="s">
        <v>109</v>
      </c>
      <c r="G5" s="26" t="s">
        <v>66</v>
      </c>
      <c r="H5" s="8"/>
      <c r="I5" s="8"/>
      <c r="J5" s="8"/>
      <c r="M5" s="8"/>
    </row>
    <row r="6" spans="1:13" ht="10.5">
      <c r="A6" s="27" t="s">
        <v>27</v>
      </c>
      <c r="B6" s="28" t="s">
        <v>27</v>
      </c>
      <c r="C6" s="222">
        <v>4.6</v>
      </c>
      <c r="D6" s="222">
        <v>4.8</v>
      </c>
      <c r="E6" s="31">
        <f>AVERAGE(C6:D6)</f>
        <v>4.699999999999999</v>
      </c>
      <c r="F6" s="31">
        <v>6.5</v>
      </c>
      <c r="G6" s="30">
        <f>SUM(E6-F6)</f>
        <v>-1.8000000000000007</v>
      </c>
      <c r="H6" s="8"/>
      <c r="I6" s="8"/>
      <c r="J6" s="8"/>
      <c r="M6" s="8"/>
    </row>
    <row r="7" spans="1:13" ht="10.5">
      <c r="A7" s="27" t="s">
        <v>67</v>
      </c>
      <c r="B7" s="28" t="s">
        <v>110</v>
      </c>
      <c r="C7" s="222">
        <v>8.33</v>
      </c>
      <c r="D7" s="222">
        <v>10.88</v>
      </c>
      <c r="E7" s="31">
        <f>AVERAGE(C7:D7)</f>
        <v>9.605</v>
      </c>
      <c r="F7" s="31">
        <v>10</v>
      </c>
      <c r="G7" s="30">
        <f>SUM(E7-F7)</f>
        <v>-0.3949999999999996</v>
      </c>
      <c r="H7" s="8"/>
      <c r="I7" s="8"/>
      <c r="J7" s="8"/>
      <c r="M7" s="8"/>
    </row>
    <row r="8" spans="1:13" ht="10.5">
      <c r="A8" s="27" t="s">
        <v>111</v>
      </c>
      <c r="B8" s="28" t="s">
        <v>73</v>
      </c>
      <c r="C8" s="222">
        <v>14.1</v>
      </c>
      <c r="D8" s="222">
        <v>11.54</v>
      </c>
      <c r="E8" s="31">
        <f>AVERAGE(C8:D8)</f>
        <v>12.82</v>
      </c>
      <c r="F8" s="31">
        <v>2.5</v>
      </c>
      <c r="G8" s="30">
        <f>SUM(E8-F8)</f>
        <v>10.32</v>
      </c>
      <c r="H8" s="8"/>
      <c r="I8" s="8"/>
      <c r="J8" s="8"/>
      <c r="M8" s="8"/>
    </row>
    <row r="9" spans="1:13" ht="10.5">
      <c r="A9" s="27" t="s">
        <v>112</v>
      </c>
      <c r="B9" s="28" t="s">
        <v>113</v>
      </c>
      <c r="C9" s="222">
        <v>127</v>
      </c>
      <c r="D9" s="222">
        <v>126</v>
      </c>
      <c r="E9" s="31">
        <f>AVERAGE(C9:D9)</f>
        <v>126.5</v>
      </c>
      <c r="F9" s="31">
        <v>30</v>
      </c>
      <c r="G9" s="30">
        <f>SUM(E9-F9)</f>
        <v>96.5</v>
      </c>
      <c r="H9" s="8"/>
      <c r="I9" s="8"/>
      <c r="J9" s="8"/>
      <c r="M9" s="8"/>
    </row>
    <row r="10" spans="1:13" ht="10.5">
      <c r="A10" s="27" t="s">
        <v>112</v>
      </c>
      <c r="B10" s="28" t="s">
        <v>28</v>
      </c>
      <c r="C10" s="32">
        <f>PRODUCT(C9/2)</f>
        <v>63.5</v>
      </c>
      <c r="D10" s="32">
        <f>PRODUCT(D9/2)</f>
        <v>63</v>
      </c>
      <c r="E10" s="31">
        <f>PRODUCT(E9/2)</f>
        <v>63.25</v>
      </c>
      <c r="F10" s="31">
        <v>17.5</v>
      </c>
      <c r="G10" s="30">
        <f aca="true" t="shared" si="0" ref="G10:G15">SUM(E10-F10)</f>
        <v>45.75</v>
      </c>
      <c r="H10" s="8"/>
      <c r="I10" s="8"/>
      <c r="J10" s="8"/>
      <c r="M10" s="8"/>
    </row>
    <row r="11" spans="1:13" ht="10.5">
      <c r="A11" s="27" t="s">
        <v>114</v>
      </c>
      <c r="B11" s="33" t="s">
        <v>28</v>
      </c>
      <c r="C11" s="222">
        <v>5.2</v>
      </c>
      <c r="D11" s="222">
        <v>3</v>
      </c>
      <c r="E11" s="31">
        <f>AVERAGE(C11:D11)</f>
        <v>4.1</v>
      </c>
      <c r="F11" s="31">
        <v>20</v>
      </c>
      <c r="G11" s="30">
        <f t="shared" si="0"/>
        <v>-15.9</v>
      </c>
      <c r="H11" s="8"/>
      <c r="I11" s="8"/>
      <c r="J11" s="8"/>
      <c r="M11" s="8"/>
    </row>
    <row r="12" spans="1:13" ht="10.5">
      <c r="A12" s="27" t="s">
        <v>115</v>
      </c>
      <c r="B12" s="28" t="s">
        <v>28</v>
      </c>
      <c r="C12" s="223">
        <v>17.1</v>
      </c>
      <c r="D12" s="223">
        <v>20.3</v>
      </c>
      <c r="E12" s="109">
        <f>AVERAGE(C12:D12)</f>
        <v>18.700000000000003</v>
      </c>
      <c r="F12" s="109">
        <v>5</v>
      </c>
      <c r="G12" s="35">
        <f t="shared" si="0"/>
        <v>13.700000000000003</v>
      </c>
      <c r="H12" s="8"/>
      <c r="I12" s="8"/>
      <c r="J12" s="8"/>
      <c r="M12" s="8"/>
    </row>
    <row r="13" spans="1:13" ht="10.5">
      <c r="A13" s="27" t="s">
        <v>116</v>
      </c>
      <c r="B13" s="28" t="s">
        <v>28</v>
      </c>
      <c r="C13" s="32">
        <f>PRODUCT(SUM(C11:C12))</f>
        <v>22.3</v>
      </c>
      <c r="D13" s="32">
        <f>PRODUCT(SUM(D11:D12))</f>
        <v>23.3</v>
      </c>
      <c r="E13" s="109">
        <f>AVERAGE(C13:D13)</f>
        <v>22.8</v>
      </c>
      <c r="F13" s="31">
        <v>25</v>
      </c>
      <c r="G13" s="30">
        <f t="shared" si="0"/>
        <v>-2.1999999999999993</v>
      </c>
      <c r="H13" s="8"/>
      <c r="I13" s="8"/>
      <c r="J13" s="8"/>
      <c r="M13" s="8"/>
    </row>
    <row r="14" spans="1:13" ht="10.5">
      <c r="A14" s="27" t="s">
        <v>117</v>
      </c>
      <c r="B14" s="28" t="s">
        <v>118</v>
      </c>
      <c r="C14" s="36">
        <f>PRODUCT(C11/C12)</f>
        <v>0.30409356725146197</v>
      </c>
      <c r="D14" s="36">
        <f>PRODUCT(D11/D12)</f>
        <v>0.14778325123152708</v>
      </c>
      <c r="E14" s="31">
        <f>PRODUCT(E11/E12)</f>
        <v>0.21925133689839568</v>
      </c>
      <c r="F14" s="52">
        <v>0.17</v>
      </c>
      <c r="G14" s="30">
        <f t="shared" si="0"/>
        <v>0.04925133689839567</v>
      </c>
      <c r="H14" s="8"/>
      <c r="I14" s="8"/>
      <c r="J14" s="8"/>
      <c r="M14" s="8"/>
    </row>
    <row r="15" spans="1:13" ht="10.5">
      <c r="A15" s="27" t="s">
        <v>79</v>
      </c>
      <c r="B15" s="28" t="s">
        <v>28</v>
      </c>
      <c r="C15" s="222">
        <v>74</v>
      </c>
      <c r="D15" s="222">
        <v>67</v>
      </c>
      <c r="E15" s="31">
        <f>AVERAGE(C15:D15)</f>
        <v>70.5</v>
      </c>
      <c r="F15" s="39">
        <v>30</v>
      </c>
      <c r="G15" s="30">
        <f t="shared" si="0"/>
        <v>40.5</v>
      </c>
      <c r="H15" s="8"/>
      <c r="I15" s="8"/>
      <c r="J15" s="8"/>
      <c r="M15" s="8"/>
    </row>
    <row r="16" spans="1:13" ht="10.5">
      <c r="A16" s="27" t="s">
        <v>119</v>
      </c>
      <c r="B16" s="28" t="s">
        <v>113</v>
      </c>
      <c r="C16" s="222">
        <v>802</v>
      </c>
      <c r="D16" s="222">
        <v>1479</v>
      </c>
      <c r="E16" s="31">
        <f>AVERAGE(C16:D16)</f>
        <v>1140.5</v>
      </c>
      <c r="F16" s="38">
        <v>300</v>
      </c>
      <c r="G16" s="30">
        <f>SUM(E16-F16)</f>
        <v>840.5</v>
      </c>
      <c r="H16" s="8"/>
      <c r="I16" s="8"/>
      <c r="J16" s="8"/>
      <c r="M16" s="8"/>
    </row>
    <row r="17" spans="1:13" ht="10.5">
      <c r="A17" s="27" t="s">
        <v>120</v>
      </c>
      <c r="B17" s="28" t="s">
        <v>113</v>
      </c>
      <c r="C17" s="222">
        <v>976</v>
      </c>
      <c r="D17" s="222">
        <v>1063</v>
      </c>
      <c r="E17" s="31">
        <f>AVERAGE(C17:D17)</f>
        <v>1019.5</v>
      </c>
      <c r="F17" s="38">
        <v>350</v>
      </c>
      <c r="G17" s="30">
        <f>SUM(E17-F17)</f>
        <v>669.5</v>
      </c>
      <c r="H17" s="8"/>
      <c r="I17" s="8"/>
      <c r="J17" s="8"/>
      <c r="M17" s="8"/>
    </row>
    <row r="18" spans="1:13" ht="10.5">
      <c r="A18" s="27"/>
      <c r="B18" s="20"/>
      <c r="C18" s="15"/>
      <c r="D18" s="15"/>
      <c r="E18" s="46"/>
      <c r="F18" s="41"/>
      <c r="G18" s="42"/>
      <c r="H18" s="8"/>
      <c r="I18" s="8"/>
      <c r="J18" s="8"/>
      <c r="M18" s="8"/>
    </row>
    <row r="19" spans="1:13" ht="10.5">
      <c r="A19" s="43" t="s">
        <v>7</v>
      </c>
      <c r="B19" s="20" t="s">
        <v>1</v>
      </c>
      <c r="C19" s="15"/>
      <c r="D19" s="15"/>
      <c r="E19" s="46"/>
      <c r="F19" s="41"/>
      <c r="G19" s="42"/>
      <c r="H19" s="8"/>
      <c r="I19" s="8"/>
      <c r="J19" s="8"/>
      <c r="M19" s="8"/>
    </row>
    <row r="20" spans="1:13" ht="10.5">
      <c r="A20" s="27" t="s">
        <v>30</v>
      </c>
      <c r="B20" s="28" t="s">
        <v>113</v>
      </c>
      <c r="C20" s="225">
        <v>708</v>
      </c>
      <c r="D20" s="225">
        <v>1048</v>
      </c>
      <c r="E20" s="52">
        <f>AVERAGE(C20:D20)</f>
        <v>878</v>
      </c>
      <c r="F20" s="39">
        <f>(AVERAGE(C7:D7))*400*0.68</f>
        <v>2612.5600000000004</v>
      </c>
      <c r="G20" s="44">
        <f>SUM(E20-F20)</f>
        <v>-1734.5600000000004</v>
      </c>
      <c r="H20" s="8"/>
      <c r="I20" s="8"/>
      <c r="J20" s="8"/>
      <c r="M20" s="8"/>
    </row>
    <row r="21" spans="1:13" ht="10.5">
      <c r="A21" s="27" t="s">
        <v>33</v>
      </c>
      <c r="B21" s="28" t="s">
        <v>113</v>
      </c>
      <c r="C21" s="225">
        <v>172</v>
      </c>
      <c r="D21" s="225">
        <v>246</v>
      </c>
      <c r="E21" s="52">
        <f>AVERAGE(C21:D21)</f>
        <v>209</v>
      </c>
      <c r="F21" s="39">
        <f>(AVERAGE(C7:D7))*240*0.15</f>
        <v>345.78000000000003</v>
      </c>
      <c r="G21" s="44">
        <f>SUM(E21-F21)</f>
        <v>-136.78000000000003</v>
      </c>
      <c r="H21" s="8"/>
      <c r="I21" s="8"/>
      <c r="J21" s="8"/>
      <c r="M21" s="8"/>
    </row>
    <row r="22" spans="1:13" ht="10.5">
      <c r="A22" s="27" t="s">
        <v>36</v>
      </c>
      <c r="B22" s="28" t="s">
        <v>113</v>
      </c>
      <c r="C22" s="225">
        <v>462</v>
      </c>
      <c r="D22" s="225">
        <v>674</v>
      </c>
      <c r="E22" s="52">
        <f>AVERAGE(C22:D22)</f>
        <v>568</v>
      </c>
      <c r="F22" s="39">
        <f>(AVERAGE(C7:D7))*780*0.05</f>
        <v>374.595</v>
      </c>
      <c r="G22" s="44">
        <f>SUM(E22-F22)</f>
        <v>193.40499999999997</v>
      </c>
      <c r="H22" s="8"/>
      <c r="I22" s="8"/>
      <c r="J22" s="8"/>
      <c r="M22" s="8"/>
    </row>
    <row r="23" spans="1:13" ht="10.5">
      <c r="A23" s="27" t="s">
        <v>39</v>
      </c>
      <c r="B23" s="28" t="s">
        <v>113</v>
      </c>
      <c r="C23" s="225">
        <v>70</v>
      </c>
      <c r="D23" s="225">
        <v>88</v>
      </c>
      <c r="E23" s="52">
        <f>AVERAGE(C23:D23)</f>
        <v>79</v>
      </c>
      <c r="F23" s="39">
        <f>(AVERAGE(C7:D7))*1390*0.01</f>
        <v>133.5095</v>
      </c>
      <c r="G23" s="44">
        <f>SUM(E23-F23)</f>
        <v>-54.5095</v>
      </c>
      <c r="H23" s="8"/>
      <c r="I23" s="8"/>
      <c r="J23" s="8"/>
      <c r="M23" s="8"/>
    </row>
    <row r="24" spans="1:13" ht="10.5">
      <c r="A24" s="27"/>
      <c r="B24" s="20"/>
      <c r="C24" s="15"/>
      <c r="D24" s="15"/>
      <c r="E24" s="46"/>
      <c r="F24" s="41"/>
      <c r="G24" s="42"/>
      <c r="H24" s="8"/>
      <c r="I24" s="8"/>
      <c r="J24" s="8"/>
      <c r="M24" s="8"/>
    </row>
    <row r="25" spans="1:13" ht="10.5">
      <c r="A25" s="43" t="s">
        <v>29</v>
      </c>
      <c r="B25" s="20" t="s">
        <v>1</v>
      </c>
      <c r="C25" s="15"/>
      <c r="D25" s="15"/>
      <c r="E25" s="46"/>
      <c r="F25" s="41"/>
      <c r="G25" s="42"/>
      <c r="H25" s="8"/>
      <c r="I25" s="8"/>
      <c r="J25" s="8"/>
      <c r="M25" s="8"/>
    </row>
    <row r="26" spans="1:13" ht="10.5">
      <c r="A26" s="27" t="s">
        <v>30</v>
      </c>
      <c r="B26" s="28" t="s">
        <v>28</v>
      </c>
      <c r="C26" s="45">
        <f aca="true" t="shared" si="1" ref="C26:F29">PRODUCT(C20/2)</f>
        <v>354</v>
      </c>
      <c r="D26" s="45">
        <f t="shared" si="1"/>
        <v>524</v>
      </c>
      <c r="E26" s="52">
        <f t="shared" si="1"/>
        <v>439</v>
      </c>
      <c r="F26" s="52">
        <f t="shared" si="1"/>
        <v>1306.2800000000002</v>
      </c>
      <c r="G26" s="44">
        <f>SUM(E26-F26)</f>
        <v>-867.2800000000002</v>
      </c>
      <c r="H26" s="8"/>
      <c r="I26" s="8"/>
      <c r="J26" s="8"/>
      <c r="M26" s="8"/>
    </row>
    <row r="27" spans="1:13" ht="10.5">
      <c r="A27" s="27" t="s">
        <v>33</v>
      </c>
      <c r="B27" s="28" t="s">
        <v>28</v>
      </c>
      <c r="C27" s="45">
        <f t="shared" si="1"/>
        <v>86</v>
      </c>
      <c r="D27" s="45">
        <f t="shared" si="1"/>
        <v>123</v>
      </c>
      <c r="E27" s="52">
        <f t="shared" si="1"/>
        <v>104.5</v>
      </c>
      <c r="F27" s="52">
        <f t="shared" si="1"/>
        <v>172.89000000000001</v>
      </c>
      <c r="G27" s="44">
        <f>SUM(E27-F27)</f>
        <v>-68.39000000000001</v>
      </c>
      <c r="H27" s="8"/>
      <c r="I27" s="8"/>
      <c r="J27" s="8"/>
      <c r="M27" s="8"/>
    </row>
    <row r="28" spans="1:13" ht="10.5">
      <c r="A28" s="27" t="s">
        <v>36</v>
      </c>
      <c r="B28" s="28" t="s">
        <v>28</v>
      </c>
      <c r="C28" s="32">
        <f t="shared" si="1"/>
        <v>231</v>
      </c>
      <c r="D28" s="32">
        <f t="shared" si="1"/>
        <v>337</v>
      </c>
      <c r="E28" s="31">
        <f t="shared" si="1"/>
        <v>284</v>
      </c>
      <c r="F28" s="31">
        <f t="shared" si="1"/>
        <v>187.2975</v>
      </c>
      <c r="G28" s="30">
        <f>SUM(E28-F28)</f>
        <v>96.70249999999999</v>
      </c>
      <c r="H28" s="8"/>
      <c r="I28" s="8"/>
      <c r="J28" s="8"/>
      <c r="M28" s="8"/>
    </row>
    <row r="29" spans="1:13" ht="10.5">
      <c r="A29" s="27" t="s">
        <v>39</v>
      </c>
      <c r="B29" s="28" t="s">
        <v>28</v>
      </c>
      <c r="C29" s="32">
        <f t="shared" si="1"/>
        <v>35</v>
      </c>
      <c r="D29" s="45">
        <f t="shared" si="1"/>
        <v>44</v>
      </c>
      <c r="E29" s="52">
        <f t="shared" si="1"/>
        <v>39.5</v>
      </c>
      <c r="F29" s="52">
        <f t="shared" si="1"/>
        <v>66.75475</v>
      </c>
      <c r="G29" s="44">
        <f>SUM(E29-F29)</f>
        <v>-27.25475</v>
      </c>
      <c r="H29" s="8"/>
      <c r="I29" s="8"/>
      <c r="J29" s="8"/>
      <c r="M29" s="8"/>
    </row>
    <row r="30" spans="1:13" ht="10.5">
      <c r="A30" s="27"/>
      <c r="B30" s="20"/>
      <c r="C30" s="15"/>
      <c r="D30" s="15"/>
      <c r="E30" s="46"/>
      <c r="F30" s="46"/>
      <c r="G30" s="42"/>
      <c r="H30" s="8"/>
      <c r="I30" s="8"/>
      <c r="J30" s="8"/>
      <c r="M30" s="8"/>
    </row>
    <row r="31" spans="1:13" ht="10.5">
      <c r="A31" s="43" t="s">
        <v>121</v>
      </c>
      <c r="B31" s="20" t="s">
        <v>1</v>
      </c>
      <c r="C31" s="15" t="s">
        <v>1</v>
      </c>
      <c r="D31" s="15"/>
      <c r="E31" s="46"/>
      <c r="F31" s="46"/>
      <c r="G31" s="42" t="s">
        <v>1</v>
      </c>
      <c r="H31" s="8"/>
      <c r="I31" s="8"/>
      <c r="J31" s="8"/>
      <c r="M31" s="8"/>
    </row>
    <row r="32" spans="1:13" ht="10.5">
      <c r="A32" s="27" t="s">
        <v>30</v>
      </c>
      <c r="B32" s="28" t="s">
        <v>73</v>
      </c>
      <c r="C32" s="110">
        <f>PRODUCT(C20/(C7*400))</f>
        <v>0.21248499399759904</v>
      </c>
      <c r="D32" s="110">
        <f>PRODUCT(D20/(D7*400))</f>
        <v>0.24080882352941177</v>
      </c>
      <c r="E32" s="52">
        <f>AVERAGE(C32:D32)</f>
        <v>0.2266469087635054</v>
      </c>
      <c r="F32" s="49">
        <v>0.68</v>
      </c>
      <c r="G32" s="50">
        <f>SUM(E32-F32)</f>
        <v>-0.45335309123649464</v>
      </c>
      <c r="H32" s="8"/>
      <c r="I32" s="8"/>
      <c r="J32" s="8"/>
      <c r="M32" s="8"/>
    </row>
    <row r="33" spans="1:13" ht="10.5">
      <c r="A33" s="27" t="s">
        <v>33</v>
      </c>
      <c r="B33" s="28" t="s">
        <v>73</v>
      </c>
      <c r="C33" s="110">
        <f>PRODUCT(C27/(C7*240))</f>
        <v>0.0430172068827531</v>
      </c>
      <c r="D33" s="110">
        <f>PRODUCT(D27/(D7*240))</f>
        <v>0.0471047794117647</v>
      </c>
      <c r="E33" s="52">
        <f>AVERAGE(C33:D33)</f>
        <v>0.0450609931472589</v>
      </c>
      <c r="F33" s="49">
        <v>0.15</v>
      </c>
      <c r="G33" s="50">
        <f>SUM(E33-F33)</f>
        <v>-0.1049390068527411</v>
      </c>
      <c r="H33" s="8"/>
      <c r="I33" s="8"/>
      <c r="J33" s="8"/>
      <c r="M33" s="8"/>
    </row>
    <row r="34" spans="1:13" ht="10.5">
      <c r="A34" s="27" t="s">
        <v>36</v>
      </c>
      <c r="B34" s="28" t="s">
        <v>73</v>
      </c>
      <c r="C34" s="110">
        <f>PRODUCT(C22/(C7*780))</f>
        <v>0.07110536522301228</v>
      </c>
      <c r="D34" s="110">
        <f>PRODUCT(D22/(D7*780))</f>
        <v>0.07942119155354448</v>
      </c>
      <c r="E34" s="52">
        <f>AVERAGE(C34:D34)</f>
        <v>0.07526327838827837</v>
      </c>
      <c r="F34" s="49">
        <v>0.05</v>
      </c>
      <c r="G34" s="50">
        <f>SUM(E34-F34)</f>
        <v>0.025263278388278368</v>
      </c>
      <c r="H34" s="8"/>
      <c r="I34" s="8"/>
      <c r="J34" s="8"/>
      <c r="M34" s="8"/>
    </row>
    <row r="35" spans="1:13" ht="10.5">
      <c r="A35" s="27" t="s">
        <v>39</v>
      </c>
      <c r="B35" s="28" t="s">
        <v>73</v>
      </c>
      <c r="C35" s="110">
        <f>PRODUCT(C23/(C7*1390))</f>
        <v>0.006045583701106342</v>
      </c>
      <c r="D35" s="110">
        <f>PRODUCT(D23/(D7*1390))</f>
        <v>0.005818874312314854</v>
      </c>
      <c r="E35" s="52">
        <f>AVERAGE(C35:D35)</f>
        <v>0.005932229006710598</v>
      </c>
      <c r="F35" s="49">
        <v>0.01</v>
      </c>
      <c r="G35" s="50">
        <f>SUM(E35-F35)</f>
        <v>-0.004067770993289402</v>
      </c>
      <c r="H35" s="8"/>
      <c r="I35" s="8"/>
      <c r="J35" s="8"/>
      <c r="M35" s="8"/>
    </row>
    <row r="36" spans="1:13" ht="10.5">
      <c r="A36" s="27"/>
      <c r="B36" s="20"/>
      <c r="C36" s="15"/>
      <c r="D36" s="15"/>
      <c r="E36" s="46"/>
      <c r="F36" s="51"/>
      <c r="G36" s="42"/>
      <c r="H36" s="8"/>
      <c r="I36" s="8"/>
      <c r="J36" s="8"/>
      <c r="M36" s="8"/>
    </row>
    <row r="37" spans="1:13" ht="10.5">
      <c r="A37" s="43" t="s">
        <v>29</v>
      </c>
      <c r="B37" s="20" t="s">
        <v>1</v>
      </c>
      <c r="C37" s="15"/>
      <c r="D37" s="15"/>
      <c r="E37" s="46"/>
      <c r="F37" s="46"/>
      <c r="G37" s="42" t="s">
        <v>1</v>
      </c>
      <c r="H37" s="8"/>
      <c r="I37" s="8"/>
      <c r="J37" s="8"/>
      <c r="M37" s="8"/>
    </row>
    <row r="38" spans="1:13" ht="10.5">
      <c r="A38" s="27" t="s">
        <v>44</v>
      </c>
      <c r="B38" s="28" t="s">
        <v>28</v>
      </c>
      <c r="C38" s="225">
        <v>0.2</v>
      </c>
      <c r="D38" s="225">
        <v>0.2</v>
      </c>
      <c r="E38" s="52">
        <f aca="true" t="shared" si="2" ref="E38:E43">AVERAGE(C38:D38)</f>
        <v>0.2</v>
      </c>
      <c r="F38" s="52">
        <v>1.5</v>
      </c>
      <c r="G38" s="44">
        <f aca="true" t="shared" si="3" ref="G38:G43">SUM(E38-F38)</f>
        <v>-1.3</v>
      </c>
      <c r="H38" s="8"/>
      <c r="I38" s="8"/>
      <c r="J38" s="8"/>
      <c r="M38" s="8"/>
    </row>
    <row r="39" spans="1:13" ht="10.5">
      <c r="A39" s="27" t="s">
        <v>41</v>
      </c>
      <c r="B39" s="28" t="s">
        <v>28</v>
      </c>
      <c r="C39" s="225">
        <v>296</v>
      </c>
      <c r="D39" s="225">
        <v>390</v>
      </c>
      <c r="E39" s="52">
        <f t="shared" si="2"/>
        <v>343</v>
      </c>
      <c r="F39" s="52">
        <v>250</v>
      </c>
      <c r="G39" s="44">
        <f t="shared" si="3"/>
        <v>93</v>
      </c>
      <c r="H39" s="8"/>
      <c r="I39" s="8"/>
      <c r="J39" s="8"/>
      <c r="M39" s="8"/>
    </row>
    <row r="40" spans="1:13" ht="10.5">
      <c r="A40" s="27" t="s">
        <v>45</v>
      </c>
      <c r="B40" s="28" t="s">
        <v>28</v>
      </c>
      <c r="C40" s="225">
        <v>29</v>
      </c>
      <c r="D40" s="225">
        <v>36</v>
      </c>
      <c r="E40" s="52">
        <f t="shared" si="2"/>
        <v>32.5</v>
      </c>
      <c r="F40" s="52">
        <v>60</v>
      </c>
      <c r="G40" s="44">
        <f t="shared" si="3"/>
        <v>-27.5</v>
      </c>
      <c r="H40" s="8"/>
      <c r="I40" s="8"/>
      <c r="J40" s="8"/>
      <c r="M40" s="8"/>
    </row>
    <row r="41" spans="1:13" ht="10.5">
      <c r="A41" s="27" t="s">
        <v>47</v>
      </c>
      <c r="B41" s="28" t="s">
        <v>28</v>
      </c>
      <c r="C41" s="225">
        <v>1.2</v>
      </c>
      <c r="D41" s="225">
        <v>1.75</v>
      </c>
      <c r="E41" s="52">
        <f t="shared" si="2"/>
        <v>1.475</v>
      </c>
      <c r="F41" s="52">
        <v>2.5</v>
      </c>
      <c r="G41" s="44">
        <f t="shared" si="3"/>
        <v>-1.025</v>
      </c>
      <c r="H41" s="8"/>
      <c r="I41" s="8"/>
      <c r="J41" s="8"/>
      <c r="M41" s="8"/>
    </row>
    <row r="42" spans="1:13" ht="10.5">
      <c r="A42" s="27" t="s">
        <v>50</v>
      </c>
      <c r="B42" s="28" t="s">
        <v>28</v>
      </c>
      <c r="C42" s="225">
        <v>2.49</v>
      </c>
      <c r="D42" s="225">
        <v>2.77</v>
      </c>
      <c r="E42" s="52">
        <f t="shared" si="2"/>
        <v>2.63</v>
      </c>
      <c r="F42" s="52">
        <v>12</v>
      </c>
      <c r="G42" s="44">
        <f t="shared" si="3"/>
        <v>-9.370000000000001</v>
      </c>
      <c r="H42" s="8"/>
      <c r="I42" s="8"/>
      <c r="J42" s="8"/>
      <c r="M42" s="8"/>
    </row>
    <row r="43" spans="1:13" ht="10.5">
      <c r="A43" s="27" t="s">
        <v>53</v>
      </c>
      <c r="B43" s="28" t="s">
        <v>28</v>
      </c>
      <c r="C43" s="225">
        <v>1848</v>
      </c>
      <c r="D43" s="225">
        <v>1687</v>
      </c>
      <c r="E43" s="52">
        <f t="shared" si="2"/>
        <v>1767.5</v>
      </c>
      <c r="F43" s="52">
        <v>400</v>
      </c>
      <c r="G43" s="44">
        <f t="shared" si="3"/>
        <v>1367.5</v>
      </c>
      <c r="H43" s="8"/>
      <c r="I43" s="8"/>
      <c r="J43" s="8"/>
      <c r="M43" s="8"/>
    </row>
    <row r="44" spans="1:13" ht="10.5">
      <c r="A44" s="27" t="s">
        <v>1</v>
      </c>
      <c r="B44" s="20"/>
      <c r="C44" s="15"/>
      <c r="D44" s="15"/>
      <c r="E44" s="46"/>
      <c r="F44" s="46" t="s">
        <v>1</v>
      </c>
      <c r="G44" s="42" t="s">
        <v>1</v>
      </c>
      <c r="H44" s="8"/>
      <c r="I44" s="8"/>
      <c r="J44" s="8"/>
      <c r="M44" s="8"/>
    </row>
    <row r="45" spans="1:13" ht="10.5">
      <c r="A45" s="43" t="s">
        <v>122</v>
      </c>
      <c r="B45" s="20" t="s">
        <v>1</v>
      </c>
      <c r="C45" s="15"/>
      <c r="D45" s="15"/>
      <c r="E45" s="46"/>
      <c r="F45" s="46"/>
      <c r="G45" s="42" t="s">
        <v>1</v>
      </c>
      <c r="H45" s="8"/>
      <c r="I45" s="8"/>
      <c r="J45" s="8"/>
      <c r="M45" s="8"/>
    </row>
    <row r="46" spans="1:13" ht="10.5">
      <c r="A46" s="27" t="s">
        <v>123</v>
      </c>
      <c r="B46" s="28" t="s">
        <v>143</v>
      </c>
      <c r="C46" s="53">
        <f>PRODUCT(C28/C29)</f>
        <v>6.6</v>
      </c>
      <c r="D46" s="53">
        <f>PRODUCT(D28/D29)</f>
        <v>7.659090909090909</v>
      </c>
      <c r="E46" s="52">
        <f>PRODUCT(E28/E29)</f>
        <v>7.189873417721519</v>
      </c>
      <c r="F46" s="52">
        <v>5</v>
      </c>
      <c r="G46" s="44">
        <f>SUM(E46-F46)</f>
        <v>2.189873417721519</v>
      </c>
      <c r="H46" s="8"/>
      <c r="I46" s="8"/>
      <c r="J46" s="8"/>
      <c r="M46" s="8"/>
    </row>
    <row r="47" spans="1:13" ht="10.5">
      <c r="A47" s="27" t="s">
        <v>124</v>
      </c>
      <c r="B47" s="28" t="s">
        <v>143</v>
      </c>
      <c r="C47" s="53">
        <f>PRODUCT(C27/C28)</f>
        <v>0.3722943722943723</v>
      </c>
      <c r="D47" s="53">
        <f>PRODUCT(D27/D28)</f>
        <v>0.3649851632047478</v>
      </c>
      <c r="E47" s="52">
        <f>PRODUCT(E27/E28)</f>
        <v>0.36795774647887325</v>
      </c>
      <c r="F47" s="52">
        <v>2</v>
      </c>
      <c r="G47" s="44">
        <f>SUM(E47-F47)</f>
        <v>-1.6320422535211268</v>
      </c>
      <c r="H47" s="8"/>
      <c r="I47" s="8"/>
      <c r="J47" s="8"/>
      <c r="M47" s="8"/>
    </row>
    <row r="48" spans="1:13" ht="10.5">
      <c r="A48" s="54" t="s">
        <v>125</v>
      </c>
      <c r="B48" s="28" t="s">
        <v>143</v>
      </c>
      <c r="C48" s="53">
        <f>PRODUCT(C26/C27)</f>
        <v>4.116279069767442</v>
      </c>
      <c r="D48" s="53">
        <f>PRODUCT(D26/D27)</f>
        <v>4.260162601626016</v>
      </c>
      <c r="E48" s="52">
        <f>PRODUCT(E26/E27)</f>
        <v>4.2009569377990434</v>
      </c>
      <c r="F48" s="52">
        <v>7</v>
      </c>
      <c r="G48" s="44">
        <f>SUM(E48-F48)</f>
        <v>-2.7990430622009566</v>
      </c>
      <c r="H48" s="8"/>
      <c r="I48" s="8"/>
      <c r="J48" s="8"/>
      <c r="M48" s="8"/>
    </row>
    <row r="49" spans="1:13" ht="10.5">
      <c r="A49" s="55"/>
      <c r="B49" s="20"/>
      <c r="C49" s="16"/>
      <c r="D49" s="16"/>
      <c r="E49" s="16"/>
      <c r="F49" s="16"/>
      <c r="G49" s="16"/>
      <c r="H49" s="16"/>
      <c r="I49" s="56"/>
      <c r="J49" s="20"/>
      <c r="M49" s="8"/>
    </row>
    <row r="50" spans="1:13" ht="10.5">
      <c r="A50" s="55"/>
      <c r="B50" s="20"/>
      <c r="C50" s="16"/>
      <c r="D50" s="16"/>
      <c r="E50" s="16"/>
      <c r="F50" s="16"/>
      <c r="G50" s="16"/>
      <c r="H50" s="16"/>
      <c r="I50" s="56"/>
      <c r="J50" s="20"/>
      <c r="M50" s="8"/>
    </row>
    <row r="51" ht="10.5">
      <c r="M51" s="8"/>
    </row>
    <row r="52" spans="1:13" ht="10.5">
      <c r="A52" s="60" t="s">
        <v>126</v>
      </c>
      <c r="B52" s="61"/>
      <c r="C52" s="5"/>
      <c r="D52" s="5"/>
      <c r="E52" s="5"/>
      <c r="F52" s="5"/>
      <c r="G52" s="111"/>
      <c r="H52" s="8"/>
      <c r="I52" s="8"/>
      <c r="J52" s="8"/>
      <c r="M52" s="8"/>
    </row>
    <row r="53" spans="1:13" ht="10.5">
      <c r="A53" s="27"/>
      <c r="B53" s="20"/>
      <c r="C53" s="63" t="str">
        <f>(C5)</f>
        <v>#2</v>
      </c>
      <c r="D53" s="63" t="str">
        <f>(D5)</f>
        <v>#16</v>
      </c>
      <c r="E53" s="64" t="s">
        <v>64</v>
      </c>
      <c r="F53" s="65" t="s">
        <v>109</v>
      </c>
      <c r="G53" s="66" t="s">
        <v>66</v>
      </c>
      <c r="H53" s="8"/>
      <c r="I53" s="8"/>
      <c r="J53" s="8"/>
      <c r="M53" s="8"/>
    </row>
    <row r="54" spans="1:13" ht="10.5">
      <c r="A54" s="27" t="s">
        <v>112</v>
      </c>
      <c r="B54" s="20" t="s">
        <v>78</v>
      </c>
      <c r="C54" s="16">
        <f>PRODUCT((C9/43.56)/0.220462)</f>
        <v>13.224586661691056</v>
      </c>
      <c r="D54" s="16">
        <f>PRODUCT((D9/43.56)/0.220462)</f>
        <v>13.120456058055693</v>
      </c>
      <c r="E54" s="16">
        <f>AVERAGE(C54:D54)</f>
        <v>13.172521359873375</v>
      </c>
      <c r="F54" s="16">
        <v>3.12</v>
      </c>
      <c r="G54" s="44">
        <f>SUM(E54-F54)</f>
        <v>10.052521359873374</v>
      </c>
      <c r="H54" s="8"/>
      <c r="I54" s="8"/>
      <c r="J54" s="8"/>
      <c r="M54" s="8"/>
    </row>
    <row r="55" spans="1:13" ht="10.5">
      <c r="A55" s="27"/>
      <c r="B55" s="20"/>
      <c r="C55" s="16"/>
      <c r="D55" s="16"/>
      <c r="E55" s="16"/>
      <c r="F55" s="16"/>
      <c r="G55" s="67"/>
      <c r="H55" s="8"/>
      <c r="I55" s="8"/>
      <c r="J55" s="8"/>
      <c r="M55" s="8"/>
    </row>
    <row r="56" spans="1:13" ht="10.5">
      <c r="A56" s="27" t="s">
        <v>119</v>
      </c>
      <c r="B56" s="20" t="s">
        <v>78</v>
      </c>
      <c r="C56" s="16">
        <f>PRODUCT((C16/43.56)/0.220462)</f>
        <v>83.51274411556085</v>
      </c>
      <c r="D56" s="16">
        <f>PRODUCT((D16/43.56)/0.220462)</f>
        <v>154.00916277670134</v>
      </c>
      <c r="E56" s="16">
        <f>AVERAGE(C56:D56)</f>
        <v>118.7609534461311</v>
      </c>
      <c r="F56" s="16">
        <v>26</v>
      </c>
      <c r="G56" s="44">
        <f>SUM(E56-F56)</f>
        <v>92.7609534461311</v>
      </c>
      <c r="H56" s="8"/>
      <c r="I56" s="8"/>
      <c r="J56" s="8"/>
      <c r="M56" s="8"/>
    </row>
    <row r="57" spans="1:13" ht="10.5">
      <c r="A57" s="27" t="s">
        <v>120</v>
      </c>
      <c r="B57" s="20" t="s">
        <v>78</v>
      </c>
      <c r="C57" s="16">
        <f>PRODUCT((C17/43.56)/0.220462)</f>
        <v>101.63146914811395</v>
      </c>
      <c r="D57" s="16">
        <f>PRODUCT((D17/43.56)/0.220462)</f>
        <v>110.69083166439049</v>
      </c>
      <c r="E57" s="16">
        <f>AVERAGE(C57:D57)</f>
        <v>106.16115040625222</v>
      </c>
      <c r="F57" s="16">
        <v>36.45</v>
      </c>
      <c r="G57" s="44">
        <f>SUM(E57-F57)</f>
        <v>69.71115040625222</v>
      </c>
      <c r="H57" s="8"/>
      <c r="I57" s="8"/>
      <c r="J57" s="8"/>
      <c r="M57" s="8"/>
    </row>
    <row r="58" spans="1:13" ht="10.5">
      <c r="A58" s="27"/>
      <c r="B58" s="20"/>
      <c r="C58" s="16" t="s">
        <v>1</v>
      </c>
      <c r="D58" s="16" t="s">
        <v>1</v>
      </c>
      <c r="E58" s="16"/>
      <c r="F58" s="16"/>
      <c r="G58" s="67"/>
      <c r="H58" s="8"/>
      <c r="I58" s="8"/>
      <c r="J58" s="8"/>
      <c r="M58" s="8"/>
    </row>
    <row r="59" spans="1:13" ht="10.5">
      <c r="A59" s="27" t="s">
        <v>30</v>
      </c>
      <c r="B59" s="20" t="s">
        <v>78</v>
      </c>
      <c r="C59" s="16">
        <f aca="true" t="shared" si="4" ref="C59:D62">PRODUCT((C20/43.56)/0.220462)</f>
        <v>73.72446737383676</v>
      </c>
      <c r="D59" s="16">
        <f t="shared" si="4"/>
        <v>109.12887260986005</v>
      </c>
      <c r="E59" s="16">
        <f>AVERAGE(C59:D59)</f>
        <v>91.4266699918484</v>
      </c>
      <c r="F59" s="16">
        <f>PRODUCT((F20/43.56)/0.220462)</f>
        <v>272.0474498336031</v>
      </c>
      <c r="G59" s="44">
        <f>SUM(E59-F59)</f>
        <v>-180.62077984175468</v>
      </c>
      <c r="H59" s="8"/>
      <c r="I59" s="8"/>
      <c r="J59" s="8"/>
      <c r="M59" s="8"/>
    </row>
    <row r="60" spans="1:13" ht="10.5">
      <c r="A60" s="27" t="s">
        <v>33</v>
      </c>
      <c r="B60" s="20" t="s">
        <v>78</v>
      </c>
      <c r="C60" s="16">
        <f t="shared" si="4"/>
        <v>17.910463825282374</v>
      </c>
      <c r="D60" s="16">
        <f t="shared" si="4"/>
        <v>25.61612849429921</v>
      </c>
      <c r="E60" s="16">
        <f>AVERAGE(C60:D60)</f>
        <v>21.76329615979079</v>
      </c>
      <c r="F60" s="16">
        <f>PRODUCT((F21/43.56)/0.220462)</f>
        <v>36.0062801250357</v>
      </c>
      <c r="G60" s="44">
        <f>SUM(E60-F60)</f>
        <v>-14.24298396524491</v>
      </c>
      <c r="H60" s="8"/>
      <c r="I60" s="8"/>
      <c r="J60" s="8"/>
      <c r="M60" s="8"/>
    </row>
    <row r="61" spans="1:13" ht="10.5">
      <c r="A61" s="27" t="s">
        <v>36</v>
      </c>
      <c r="B61" s="20" t="s">
        <v>78</v>
      </c>
      <c r="C61" s="16">
        <f t="shared" si="4"/>
        <v>48.10833887953754</v>
      </c>
      <c r="D61" s="16">
        <f t="shared" si="4"/>
        <v>70.18402685023442</v>
      </c>
      <c r="E61" s="16">
        <f>AVERAGE(C61:D61)</f>
        <v>59.14618286488598</v>
      </c>
      <c r="F61" s="16">
        <f>PRODUCT((F22/43.56)/0.220462)</f>
        <v>39.00680346878867</v>
      </c>
      <c r="G61" s="44">
        <f>SUM(E61-F61)</f>
        <v>20.13937939609731</v>
      </c>
      <c r="H61" s="8"/>
      <c r="I61" s="8"/>
      <c r="J61" s="8"/>
      <c r="M61" s="8"/>
    </row>
    <row r="62" spans="1:13" ht="10.5">
      <c r="A62" s="54" t="s">
        <v>39</v>
      </c>
      <c r="B62" s="28" t="s">
        <v>78</v>
      </c>
      <c r="C62" s="53">
        <f t="shared" si="4"/>
        <v>7.289142254475386</v>
      </c>
      <c r="D62" s="53">
        <f t="shared" si="4"/>
        <v>9.163493119911912</v>
      </c>
      <c r="E62" s="53">
        <f>AVERAGE(C62:D62)</f>
        <v>8.22631768719365</v>
      </c>
      <c r="F62" s="53">
        <f>PRODUCT((F23/43.56)/0.220462)</f>
        <v>13.90242482605545</v>
      </c>
      <c r="G62" s="44">
        <f>SUM(E62-F62)</f>
        <v>-5.6761071388618</v>
      </c>
      <c r="H62" s="8"/>
      <c r="I62" s="8"/>
      <c r="J62" s="8"/>
      <c r="M62" s="8"/>
    </row>
    <row r="63" ht="10.5">
      <c r="M63" s="8"/>
    </row>
    <row r="64" ht="10.5">
      <c r="M64" s="8"/>
    </row>
    <row r="65" ht="10.5">
      <c r="M65" s="8"/>
    </row>
    <row r="66" ht="10.5">
      <c r="M66" s="8"/>
    </row>
    <row r="67" ht="10.5">
      <c r="M67" s="8"/>
    </row>
    <row r="68" ht="10.5">
      <c r="M68" s="8"/>
    </row>
    <row r="69" ht="10.5">
      <c r="M69" s="8"/>
    </row>
    <row r="70" ht="10.5">
      <c r="M70" s="8"/>
    </row>
    <row r="71" ht="10.5">
      <c r="M71" s="8"/>
    </row>
    <row r="72" ht="10.5">
      <c r="M72" s="8"/>
    </row>
    <row r="73" ht="10.5">
      <c r="M73" s="8"/>
    </row>
    <row r="74" ht="10.5">
      <c r="M74" s="8"/>
    </row>
    <row r="75" ht="10.5">
      <c r="M75" s="8"/>
    </row>
    <row r="76" ht="10.5">
      <c r="M76" s="8"/>
    </row>
    <row r="77" ht="10.5">
      <c r="M77" s="8"/>
    </row>
    <row r="78" ht="10.5">
      <c r="M78" s="8"/>
    </row>
    <row r="79" ht="10.5">
      <c r="M79" s="8"/>
    </row>
    <row r="80" ht="10.5">
      <c r="M80" s="8"/>
    </row>
    <row r="81" ht="10.5">
      <c r="M81" s="8"/>
    </row>
    <row r="82" ht="10.5">
      <c r="M82" s="8"/>
    </row>
    <row r="83" ht="10.5">
      <c r="M83" s="8"/>
    </row>
    <row r="84" ht="10.5">
      <c r="M84" s="8"/>
    </row>
    <row r="85" ht="10.5">
      <c r="M85" s="8"/>
    </row>
    <row r="86" ht="10.5">
      <c r="M86" s="8"/>
    </row>
    <row r="87" ht="10.5">
      <c r="M87" s="8"/>
    </row>
    <row r="88" ht="10.5">
      <c r="M88" s="8"/>
    </row>
    <row r="89" ht="10.5">
      <c r="M89" s="8"/>
    </row>
    <row r="90" ht="10.5">
      <c r="M90" s="8"/>
    </row>
    <row r="91" ht="10.5">
      <c r="M91" s="8"/>
    </row>
    <row r="92" ht="10.5">
      <c r="M92" s="8"/>
    </row>
    <row r="93" ht="10.5">
      <c r="M93" s="8"/>
    </row>
    <row r="94" ht="10.5">
      <c r="M94" s="8"/>
    </row>
    <row r="95" ht="10.5">
      <c r="M95" s="8"/>
    </row>
    <row r="96" ht="10.5">
      <c r="M96" s="8"/>
    </row>
    <row r="97" ht="10.5">
      <c r="M97" s="8"/>
    </row>
    <row r="98" ht="10.5">
      <c r="M98" s="8"/>
    </row>
    <row r="99" ht="10.5">
      <c r="M99" s="8"/>
    </row>
    <row r="100" ht="10.5">
      <c r="M100" s="8"/>
    </row>
    <row r="101" ht="10.5">
      <c r="M101" s="8"/>
    </row>
    <row r="102" ht="10.5">
      <c r="M102" s="8"/>
    </row>
    <row r="103" ht="10.5">
      <c r="M103" s="8"/>
    </row>
    <row r="104" ht="10.5">
      <c r="M104" s="8"/>
    </row>
    <row r="105" ht="10.5">
      <c r="M105" s="8"/>
    </row>
    <row r="106" ht="10.5">
      <c r="M106" s="8"/>
    </row>
    <row r="107" ht="10.5">
      <c r="M107" s="8"/>
    </row>
    <row r="108" ht="10.5">
      <c r="M108" s="8"/>
    </row>
    <row r="109" ht="10.5">
      <c r="M109" s="8"/>
    </row>
    <row r="110" ht="10.5">
      <c r="M110" s="8"/>
    </row>
    <row r="111" ht="10.5">
      <c r="M111" s="8"/>
    </row>
    <row r="112" ht="10.5">
      <c r="M112" s="8"/>
    </row>
    <row r="113" ht="10.5">
      <c r="M113" s="8"/>
    </row>
    <row r="114" ht="10.5">
      <c r="M114" s="8"/>
    </row>
    <row r="115" ht="10.5">
      <c r="M115" s="8"/>
    </row>
    <row r="116" ht="10.5">
      <c r="M116" s="8"/>
    </row>
    <row r="117" ht="10.5">
      <c r="M117" s="8"/>
    </row>
    <row r="118" ht="10.5">
      <c r="M118" s="8"/>
    </row>
    <row r="119" ht="10.5">
      <c r="M119" s="8"/>
    </row>
    <row r="120" ht="10.5">
      <c r="M120" s="8"/>
    </row>
    <row r="121" ht="10.5">
      <c r="M121" s="8"/>
    </row>
    <row r="122" ht="10.5">
      <c r="M122" s="8"/>
    </row>
    <row r="123" ht="10.5">
      <c r="M123" s="8"/>
    </row>
    <row r="124" ht="10.5">
      <c r="M124" s="8"/>
    </row>
    <row r="125" ht="10.5">
      <c r="M125" s="8"/>
    </row>
    <row r="126" ht="10.5">
      <c r="M126" s="8"/>
    </row>
    <row r="127" ht="10.5">
      <c r="M127" s="8"/>
    </row>
    <row r="128" ht="10.5">
      <c r="M128" s="8"/>
    </row>
    <row r="129" ht="10.5">
      <c r="M129" s="8"/>
    </row>
    <row r="130" ht="10.5">
      <c r="M130" s="8"/>
    </row>
    <row r="131" ht="10.5">
      <c r="M131" s="8"/>
    </row>
    <row r="132" ht="10.5">
      <c r="M132" s="8"/>
    </row>
    <row r="133" ht="10.5">
      <c r="M133" s="8"/>
    </row>
    <row r="134" ht="10.5">
      <c r="M134" s="8"/>
    </row>
    <row r="135" ht="10.5">
      <c r="M135" s="8"/>
    </row>
    <row r="136" ht="10.5">
      <c r="M136" s="8"/>
    </row>
    <row r="137" ht="10.5">
      <c r="M137" s="8"/>
    </row>
    <row r="138" ht="10.5">
      <c r="M138" s="8"/>
    </row>
    <row r="139" ht="10.5">
      <c r="M139" s="8"/>
    </row>
    <row r="140" ht="10.5">
      <c r="M140" s="8"/>
    </row>
    <row r="141" ht="10.5">
      <c r="M141" s="8"/>
    </row>
    <row r="142" ht="10.5">
      <c r="M142" s="8"/>
    </row>
    <row r="143" ht="10.5">
      <c r="M143" s="8"/>
    </row>
    <row r="144" ht="10.5">
      <c r="M144" s="8"/>
    </row>
    <row r="145" ht="10.5">
      <c r="M145" s="8"/>
    </row>
    <row r="146" ht="10.5">
      <c r="M146" s="8"/>
    </row>
    <row r="147" ht="10.5">
      <c r="M147" s="8"/>
    </row>
    <row r="148" ht="10.5">
      <c r="M148" s="8"/>
    </row>
    <row r="149" ht="10.5">
      <c r="M149" s="8"/>
    </row>
    <row r="150" ht="10.5">
      <c r="M150" s="8"/>
    </row>
    <row r="151" ht="10.5">
      <c r="M151" s="8"/>
    </row>
    <row r="152" ht="10.5">
      <c r="M152" s="8"/>
    </row>
    <row r="153" ht="10.5">
      <c r="M153" s="8"/>
    </row>
    <row r="154" ht="10.5">
      <c r="M154" s="8"/>
    </row>
    <row r="155" ht="10.5">
      <c r="M155" s="8"/>
    </row>
    <row r="156" ht="10.5">
      <c r="M156" s="8"/>
    </row>
    <row r="157" ht="10.5">
      <c r="M157" s="8"/>
    </row>
    <row r="158" ht="10.5">
      <c r="M158" s="8"/>
    </row>
    <row r="159" ht="10.5">
      <c r="M159" s="8"/>
    </row>
    <row r="160" ht="10.5">
      <c r="M160" s="8"/>
    </row>
    <row r="161" ht="10.5">
      <c r="M161" s="8"/>
    </row>
    <row r="162" ht="10.5">
      <c r="M162" s="8"/>
    </row>
    <row r="163" ht="10.5">
      <c r="M163" s="8"/>
    </row>
    <row r="164" ht="10.5">
      <c r="M164" s="8"/>
    </row>
    <row r="165" ht="10.5">
      <c r="M165" s="8"/>
    </row>
    <row r="166" ht="10.5">
      <c r="M166" s="8"/>
    </row>
    <row r="167" ht="10.5">
      <c r="M167" s="8"/>
    </row>
    <row r="168" ht="10.5">
      <c r="M168" s="8"/>
    </row>
    <row r="169" ht="10.5">
      <c r="M169" s="8"/>
    </row>
    <row r="170" ht="10.5">
      <c r="M170" s="8"/>
    </row>
    <row r="171" ht="10.5">
      <c r="M171" s="8"/>
    </row>
    <row r="172" ht="10.5">
      <c r="M172" s="8"/>
    </row>
    <row r="173" ht="10.5">
      <c r="M173" s="8"/>
    </row>
    <row r="174" ht="10.5">
      <c r="M174" s="8"/>
    </row>
    <row r="175" ht="10.5">
      <c r="M175" s="8"/>
    </row>
    <row r="176" ht="10.5">
      <c r="M176" s="8"/>
    </row>
    <row r="177" ht="10.5">
      <c r="M177" s="8"/>
    </row>
    <row r="178" ht="10.5">
      <c r="M178" s="8"/>
    </row>
    <row r="179" ht="10.5">
      <c r="M179" s="8"/>
    </row>
    <row r="180" ht="10.5">
      <c r="M180" s="8"/>
    </row>
    <row r="181" ht="10.5">
      <c r="M181" s="8"/>
    </row>
    <row r="182" ht="10.5">
      <c r="M182" s="8"/>
    </row>
    <row r="183" ht="10.5">
      <c r="M183" s="8"/>
    </row>
    <row r="184" ht="10.5">
      <c r="M184" s="8"/>
    </row>
    <row r="185" ht="10.5">
      <c r="M185" s="8"/>
    </row>
    <row r="186" ht="10.5">
      <c r="M186" s="8"/>
    </row>
    <row r="187" ht="10.5">
      <c r="M187" s="8"/>
    </row>
    <row r="188" ht="10.5">
      <c r="M188" s="8"/>
    </row>
    <row r="189" ht="10.5">
      <c r="M189" s="8"/>
    </row>
    <row r="190" ht="10.5">
      <c r="M190" s="8"/>
    </row>
    <row r="191" ht="10.5">
      <c r="M191" s="8"/>
    </row>
    <row r="192" ht="10.5">
      <c r="M192" s="8"/>
    </row>
    <row r="193" ht="10.5">
      <c r="M193" s="8"/>
    </row>
    <row r="194" ht="10.5">
      <c r="M194" s="8"/>
    </row>
    <row r="195" ht="10.5">
      <c r="M195" s="8"/>
    </row>
    <row r="196" ht="10.5">
      <c r="M196" s="8"/>
    </row>
    <row r="197" ht="10.5">
      <c r="M197" s="8"/>
    </row>
    <row r="198" ht="10.5">
      <c r="M198" s="8"/>
    </row>
    <row r="199" ht="10.5">
      <c r="M199" s="8"/>
    </row>
    <row r="200" ht="10.5">
      <c r="M200" s="8"/>
    </row>
    <row r="201" ht="10.5">
      <c r="M201" s="8"/>
    </row>
    <row r="202" ht="10.5">
      <c r="M202" s="8"/>
    </row>
    <row r="203" ht="10.5">
      <c r="M203" s="8"/>
    </row>
    <row r="204" ht="10.5">
      <c r="M204" s="8"/>
    </row>
    <row r="205" ht="10.5">
      <c r="M205" s="8"/>
    </row>
    <row r="206" ht="10.5">
      <c r="M206" s="8"/>
    </row>
    <row r="207" ht="10.5">
      <c r="M207" s="8"/>
    </row>
    <row r="208" ht="10.5">
      <c r="M208" s="8"/>
    </row>
    <row r="209" ht="10.5">
      <c r="M209" s="8"/>
    </row>
    <row r="210" ht="10.5">
      <c r="M210" s="8"/>
    </row>
    <row r="211" ht="10.5">
      <c r="M211" s="8"/>
    </row>
    <row r="212" ht="10.5">
      <c r="M212" s="8"/>
    </row>
    <row r="213" ht="10.5">
      <c r="M213" s="8"/>
    </row>
    <row r="214" ht="10.5">
      <c r="M214" s="8"/>
    </row>
    <row r="215" ht="10.5">
      <c r="M215" s="8"/>
    </row>
    <row r="216" ht="10.5">
      <c r="M216" s="8"/>
    </row>
    <row r="217" ht="10.5">
      <c r="M217" s="8"/>
    </row>
    <row r="218" ht="10.5">
      <c r="M218" s="8"/>
    </row>
    <row r="219" ht="10.5">
      <c r="M219" s="8"/>
    </row>
    <row r="220" ht="10.5">
      <c r="M220" s="8"/>
    </row>
    <row r="221" ht="10.5">
      <c r="M221" s="8"/>
    </row>
    <row r="222" ht="10.5">
      <c r="M222" s="8"/>
    </row>
    <row r="223" ht="10.5">
      <c r="M223" s="8"/>
    </row>
    <row r="224" ht="10.5">
      <c r="M224" s="8"/>
    </row>
    <row r="225" ht="10.5">
      <c r="M225" s="8"/>
    </row>
    <row r="226" ht="10.5">
      <c r="M226" s="8"/>
    </row>
    <row r="227" ht="10.5">
      <c r="M227" s="8"/>
    </row>
    <row r="228" ht="10.5">
      <c r="M228" s="8"/>
    </row>
    <row r="229" ht="10.5">
      <c r="M229" s="8"/>
    </row>
    <row r="230" ht="10.5">
      <c r="M230" s="8"/>
    </row>
    <row r="231" ht="10.5">
      <c r="M231" s="8"/>
    </row>
    <row r="232" ht="10.5">
      <c r="M232" s="8"/>
    </row>
    <row r="233" ht="10.5">
      <c r="M233" s="8"/>
    </row>
    <row r="234" ht="10.5">
      <c r="M234" s="8"/>
    </row>
    <row r="235" ht="10.5">
      <c r="M235" s="8"/>
    </row>
    <row r="236" ht="10.5">
      <c r="M236" s="8"/>
    </row>
    <row r="237" ht="10.5">
      <c r="M237" s="8"/>
    </row>
    <row r="238" ht="10.5">
      <c r="M238" s="8"/>
    </row>
    <row r="239" ht="10.5">
      <c r="M239" s="8"/>
    </row>
    <row r="240" ht="10.5">
      <c r="M240" s="8"/>
    </row>
    <row r="241" ht="10.5">
      <c r="M241" s="8"/>
    </row>
    <row r="242" ht="10.5">
      <c r="M242" s="8"/>
    </row>
    <row r="243" ht="10.5">
      <c r="M243" s="8"/>
    </row>
    <row r="244" ht="10.5">
      <c r="M244" s="8"/>
    </row>
    <row r="245" ht="10.5">
      <c r="M245" s="8"/>
    </row>
    <row r="246" ht="10.5">
      <c r="M246" s="8"/>
    </row>
    <row r="247" ht="10.5">
      <c r="M247" s="8"/>
    </row>
    <row r="248" ht="10.5">
      <c r="M248" s="8"/>
    </row>
    <row r="249" ht="10.5">
      <c r="M249" s="8"/>
    </row>
    <row r="250" ht="10.5">
      <c r="M250" s="8"/>
    </row>
    <row r="251" ht="10.5">
      <c r="M251" s="8"/>
    </row>
    <row r="252" ht="10.5">
      <c r="M252" s="8"/>
    </row>
    <row r="253" ht="10.5">
      <c r="M253" s="8"/>
    </row>
    <row r="254" ht="10.5">
      <c r="M254" s="8"/>
    </row>
    <row r="255" ht="10.5">
      <c r="M255" s="8"/>
    </row>
    <row r="256" ht="10.5">
      <c r="M256" s="8"/>
    </row>
    <row r="257" ht="10.5">
      <c r="M257" s="8"/>
    </row>
    <row r="258" ht="10.5">
      <c r="M258" s="8"/>
    </row>
    <row r="259" ht="10.5">
      <c r="M259" s="8"/>
    </row>
    <row r="260" ht="10.5">
      <c r="M260" s="8"/>
    </row>
    <row r="261" ht="10.5">
      <c r="M261" s="8"/>
    </row>
    <row r="262" ht="10.5">
      <c r="M262" s="8"/>
    </row>
    <row r="263" ht="10.5">
      <c r="M263" s="8"/>
    </row>
    <row r="264" ht="10.5">
      <c r="M264" s="8"/>
    </row>
    <row r="265" ht="10.5">
      <c r="M265" s="8"/>
    </row>
    <row r="266" ht="10.5">
      <c r="M266" s="8"/>
    </row>
    <row r="267" ht="10.5">
      <c r="M267" s="8"/>
    </row>
    <row r="268" ht="10.5">
      <c r="M268" s="8"/>
    </row>
    <row r="269" ht="10.5">
      <c r="M269" s="8"/>
    </row>
    <row r="270" ht="10.5">
      <c r="M270" s="8"/>
    </row>
    <row r="271" ht="10.5">
      <c r="M271" s="8"/>
    </row>
    <row r="272" ht="10.5">
      <c r="M272" s="8"/>
    </row>
    <row r="273" ht="10.5">
      <c r="M273" s="8"/>
    </row>
    <row r="274" ht="10.5">
      <c r="M274" s="8"/>
    </row>
    <row r="275" ht="10.5">
      <c r="M275" s="8"/>
    </row>
    <row r="276" ht="10.5">
      <c r="M276" s="8"/>
    </row>
    <row r="277" ht="10.5">
      <c r="M277" s="8"/>
    </row>
    <row r="278" ht="10.5">
      <c r="M278" s="8"/>
    </row>
    <row r="279" ht="10.5">
      <c r="M279" s="8"/>
    </row>
    <row r="280" ht="10.5">
      <c r="M280" s="8"/>
    </row>
    <row r="281" ht="10.5">
      <c r="M281" s="8"/>
    </row>
    <row r="282" ht="10.5">
      <c r="M282" s="8"/>
    </row>
    <row r="283" ht="10.5">
      <c r="M283" s="8"/>
    </row>
    <row r="284" ht="10.5">
      <c r="M284" s="8"/>
    </row>
    <row r="285" ht="10.5">
      <c r="M285" s="8"/>
    </row>
    <row r="286" ht="10.5">
      <c r="M286" s="8"/>
    </row>
    <row r="287" ht="10.5">
      <c r="M287" s="8"/>
    </row>
    <row r="288" ht="10.5">
      <c r="M288" s="8"/>
    </row>
    <row r="289" ht="10.5">
      <c r="M289" s="8"/>
    </row>
    <row r="290" ht="10.5">
      <c r="M290" s="8"/>
    </row>
    <row r="291" ht="10.5">
      <c r="M291" s="8"/>
    </row>
    <row r="292" ht="10.5">
      <c r="M292" s="8"/>
    </row>
    <row r="293" ht="10.5">
      <c r="M293" s="8"/>
    </row>
    <row r="294" ht="10.5">
      <c r="M294" s="8"/>
    </row>
    <row r="295" ht="10.5">
      <c r="M295" s="8"/>
    </row>
    <row r="296" ht="10.5">
      <c r="M296" s="8"/>
    </row>
    <row r="297" ht="10.5">
      <c r="M297" s="8"/>
    </row>
    <row r="298" ht="10.5">
      <c r="M298" s="8"/>
    </row>
    <row r="299" ht="10.5">
      <c r="M299" s="8"/>
    </row>
    <row r="300" ht="10.5">
      <c r="M300" s="8"/>
    </row>
    <row r="301" ht="10.5">
      <c r="M301" s="8"/>
    </row>
    <row r="302" ht="10.5">
      <c r="M302" s="8"/>
    </row>
    <row r="303" ht="10.5">
      <c r="M303" s="8"/>
    </row>
    <row r="304" ht="10.5">
      <c r="M304" s="8"/>
    </row>
    <row r="305" ht="10.5">
      <c r="M305" s="8"/>
    </row>
    <row r="306" ht="10.5">
      <c r="M306" s="8"/>
    </row>
    <row r="307" ht="10.5">
      <c r="M307" s="8"/>
    </row>
    <row r="308" ht="10.5">
      <c r="M308" s="8"/>
    </row>
    <row r="309" ht="10.5">
      <c r="M309" s="8"/>
    </row>
    <row r="310" ht="10.5">
      <c r="M310" s="8"/>
    </row>
    <row r="311" ht="10.5">
      <c r="M311" s="8"/>
    </row>
    <row r="312" ht="10.5">
      <c r="M312" s="8"/>
    </row>
    <row r="313" ht="10.5">
      <c r="M313" s="8"/>
    </row>
    <row r="314" ht="10.5">
      <c r="M314" s="8"/>
    </row>
    <row r="315" ht="10.5">
      <c r="M315" s="8"/>
    </row>
    <row r="316" ht="10.5">
      <c r="M316" s="8"/>
    </row>
    <row r="317" ht="10.5">
      <c r="M317" s="8"/>
    </row>
    <row r="318" ht="10.5">
      <c r="M318" s="8"/>
    </row>
    <row r="319" ht="10.5">
      <c r="M319" s="8"/>
    </row>
    <row r="320" ht="10.5">
      <c r="M320" s="8"/>
    </row>
    <row r="321" ht="10.5">
      <c r="M321" s="8"/>
    </row>
    <row r="322" ht="10.5">
      <c r="M322" s="8"/>
    </row>
    <row r="323" ht="10.5">
      <c r="M323" s="8"/>
    </row>
    <row r="324" ht="10.5">
      <c r="M324" s="8"/>
    </row>
    <row r="325" ht="10.5">
      <c r="M325" s="8"/>
    </row>
    <row r="326" ht="10.5">
      <c r="M326" s="8"/>
    </row>
    <row r="327" ht="10.5">
      <c r="M327" s="8"/>
    </row>
    <row r="328" ht="10.5">
      <c r="M328" s="8"/>
    </row>
    <row r="329" ht="10.5">
      <c r="M329" s="8"/>
    </row>
    <row r="330" ht="10.5">
      <c r="M330" s="8"/>
    </row>
    <row r="331" ht="10.5">
      <c r="M331" s="8"/>
    </row>
    <row r="332" ht="10.5">
      <c r="M332" s="8"/>
    </row>
    <row r="333" ht="10.5">
      <c r="M333" s="8"/>
    </row>
    <row r="334" ht="10.5">
      <c r="M334" s="8"/>
    </row>
    <row r="335" ht="10.5">
      <c r="M335" s="8"/>
    </row>
    <row r="336" ht="10.5">
      <c r="M336" s="8"/>
    </row>
    <row r="337" ht="10.5">
      <c r="M337" s="8"/>
    </row>
    <row r="338" ht="10.5">
      <c r="M338" s="8"/>
    </row>
    <row r="339" ht="10.5">
      <c r="M339" s="8"/>
    </row>
    <row r="340" ht="10.5">
      <c r="M340" s="8"/>
    </row>
    <row r="341" ht="10.5">
      <c r="M341" s="8"/>
    </row>
    <row r="342" ht="10.5">
      <c r="M342" s="8"/>
    </row>
    <row r="343" ht="10.5">
      <c r="M343" s="8"/>
    </row>
    <row r="344" ht="10.5">
      <c r="M344" s="8"/>
    </row>
    <row r="345" ht="10.5">
      <c r="M345" s="8"/>
    </row>
    <row r="346" ht="10.5">
      <c r="M346" s="8"/>
    </row>
    <row r="347" ht="10.5">
      <c r="M347" s="8"/>
    </row>
    <row r="348" ht="10.5">
      <c r="M348" s="8"/>
    </row>
    <row r="349" ht="10.5">
      <c r="M349" s="8"/>
    </row>
    <row r="350" ht="10.5">
      <c r="M350" s="8"/>
    </row>
    <row r="351" ht="10.5">
      <c r="M351" s="8"/>
    </row>
    <row r="352" ht="10.5">
      <c r="M352" s="8"/>
    </row>
    <row r="353" ht="10.5">
      <c r="M353" s="8"/>
    </row>
    <row r="354" ht="10.5">
      <c r="M354" s="8"/>
    </row>
    <row r="355" ht="10.5">
      <c r="M355" s="8"/>
    </row>
    <row r="356" ht="10.5">
      <c r="M356" s="8"/>
    </row>
    <row r="357" ht="10.5">
      <c r="M357" s="8"/>
    </row>
    <row r="358" ht="10.5">
      <c r="M358" s="8"/>
    </row>
    <row r="359" ht="10.5">
      <c r="M359" s="8"/>
    </row>
    <row r="360" ht="10.5">
      <c r="M360" s="8"/>
    </row>
    <row r="361" ht="10.5">
      <c r="M361" s="8"/>
    </row>
    <row r="362" ht="10.5">
      <c r="M362" s="8"/>
    </row>
    <row r="363" ht="10.5">
      <c r="M363" s="8"/>
    </row>
    <row r="364" ht="10.5">
      <c r="M364" s="8"/>
    </row>
    <row r="365" ht="10.5">
      <c r="M365" s="8"/>
    </row>
    <row r="366" ht="10.5">
      <c r="M366" s="8"/>
    </row>
    <row r="367" ht="10.5">
      <c r="M367" s="8"/>
    </row>
    <row r="368" ht="10.5">
      <c r="M368" s="8"/>
    </row>
    <row r="369" ht="10.5">
      <c r="M369" s="8"/>
    </row>
    <row r="370" ht="10.5">
      <c r="M370" s="8"/>
    </row>
    <row r="371" ht="10.5">
      <c r="M371" s="8"/>
    </row>
    <row r="372" ht="10.5">
      <c r="M372" s="8"/>
    </row>
    <row r="373" ht="10.5">
      <c r="M373" s="8"/>
    </row>
    <row r="374" ht="10.5">
      <c r="M374" s="8"/>
    </row>
    <row r="375" ht="10.5">
      <c r="M375" s="8"/>
    </row>
    <row r="376" ht="10.5">
      <c r="M376" s="8"/>
    </row>
    <row r="377" ht="10.5">
      <c r="M377" s="8"/>
    </row>
    <row r="378" ht="10.5">
      <c r="M378" s="8"/>
    </row>
    <row r="379" ht="10.5">
      <c r="M379" s="8"/>
    </row>
    <row r="380" ht="10.5">
      <c r="M380" s="8"/>
    </row>
    <row r="381" ht="10.5">
      <c r="M381" s="8"/>
    </row>
    <row r="382" ht="10.5">
      <c r="M382" s="8"/>
    </row>
    <row r="383" ht="10.5">
      <c r="M383" s="8"/>
    </row>
    <row r="384" ht="10.5">
      <c r="M384" s="8"/>
    </row>
    <row r="385" ht="10.5">
      <c r="M385" s="8"/>
    </row>
    <row r="386" ht="10.5">
      <c r="M386" s="8"/>
    </row>
    <row r="387" ht="10.5">
      <c r="M387" s="8"/>
    </row>
    <row r="388" ht="10.5">
      <c r="M388" s="8"/>
    </row>
    <row r="389" ht="10.5">
      <c r="M389" s="8"/>
    </row>
    <row r="390" ht="10.5">
      <c r="M390" s="8"/>
    </row>
    <row r="391" ht="10.5">
      <c r="M391" s="8"/>
    </row>
    <row r="392" ht="10.5">
      <c r="M392" s="8"/>
    </row>
    <row r="393" ht="10.5">
      <c r="M393" s="8"/>
    </row>
    <row r="394" ht="10.5">
      <c r="M394" s="8"/>
    </row>
    <row r="395" ht="10.5">
      <c r="M395" s="8"/>
    </row>
    <row r="396" ht="10.5">
      <c r="M396" s="8"/>
    </row>
    <row r="397" ht="10.5">
      <c r="M397" s="8"/>
    </row>
    <row r="398" ht="10.5">
      <c r="M398" s="8"/>
    </row>
    <row r="399" ht="10.5">
      <c r="M399" s="8"/>
    </row>
    <row r="400" ht="10.5">
      <c r="M400" s="8"/>
    </row>
    <row r="401" ht="10.5">
      <c r="M401" s="8"/>
    </row>
    <row r="402" ht="10.5">
      <c r="M402" s="8"/>
    </row>
    <row r="403" ht="10.5">
      <c r="M403" s="8"/>
    </row>
    <row r="404" ht="10.5">
      <c r="M404" s="8"/>
    </row>
    <row r="405" ht="10.5">
      <c r="M405" s="8"/>
    </row>
    <row r="406" ht="10.5">
      <c r="M406" s="8"/>
    </row>
    <row r="407" ht="10.5">
      <c r="M407" s="8"/>
    </row>
    <row r="408" ht="10.5">
      <c r="M408" s="8"/>
    </row>
    <row r="409" ht="10.5">
      <c r="M409" s="8"/>
    </row>
    <row r="410" ht="10.5">
      <c r="M410" s="8"/>
    </row>
    <row r="411" ht="10.5">
      <c r="M411" s="8"/>
    </row>
    <row r="412" ht="10.5">
      <c r="M412" s="8"/>
    </row>
    <row r="413" ht="10.5">
      <c r="M413" s="8"/>
    </row>
    <row r="414" ht="10.5">
      <c r="M414" s="8"/>
    </row>
    <row r="415" ht="10.5">
      <c r="M415" s="8"/>
    </row>
    <row r="416" ht="10.5">
      <c r="M416" s="8"/>
    </row>
    <row r="417" ht="10.5">
      <c r="M417" s="8"/>
    </row>
    <row r="418" ht="10.5">
      <c r="M418" s="8"/>
    </row>
    <row r="419" ht="10.5">
      <c r="M419" s="8"/>
    </row>
    <row r="420" ht="10.5">
      <c r="M420" s="8"/>
    </row>
    <row r="421" ht="10.5">
      <c r="M421" s="8"/>
    </row>
    <row r="422" ht="10.5">
      <c r="M422" s="8"/>
    </row>
    <row r="423" ht="10.5">
      <c r="M423" s="8"/>
    </row>
    <row r="424" ht="10.5">
      <c r="M424" s="8"/>
    </row>
    <row r="425" ht="10.5">
      <c r="M425" s="8"/>
    </row>
    <row r="426" ht="10.5">
      <c r="M426" s="8"/>
    </row>
    <row r="427" ht="10.5">
      <c r="M427" s="8"/>
    </row>
    <row r="428" ht="10.5">
      <c r="M428" s="8"/>
    </row>
    <row r="429" ht="10.5">
      <c r="M429" s="8"/>
    </row>
    <row r="430" ht="10.5">
      <c r="M430" s="8"/>
    </row>
    <row r="431" ht="10.5">
      <c r="M431" s="8"/>
    </row>
    <row r="432" ht="10.5">
      <c r="M432" s="8"/>
    </row>
    <row r="433" ht="10.5">
      <c r="M433" s="8"/>
    </row>
    <row r="434" ht="10.5">
      <c r="M434" s="8"/>
    </row>
    <row r="435" ht="10.5">
      <c r="M435" s="8"/>
    </row>
    <row r="436" ht="10.5">
      <c r="M436" s="8"/>
    </row>
    <row r="437" ht="10.5">
      <c r="M437" s="8"/>
    </row>
    <row r="438" ht="10.5">
      <c r="M438" s="8"/>
    </row>
    <row r="439" ht="10.5">
      <c r="M439" s="8"/>
    </row>
    <row r="440" ht="10.5">
      <c r="M440" s="8"/>
    </row>
    <row r="441" ht="10.5">
      <c r="M441" s="8"/>
    </row>
    <row r="442" ht="10.5">
      <c r="M442" s="8"/>
    </row>
    <row r="443" ht="10.5">
      <c r="M443" s="8"/>
    </row>
    <row r="444" ht="10.5">
      <c r="M444" s="8"/>
    </row>
    <row r="445" ht="10.5">
      <c r="M445" s="8"/>
    </row>
    <row r="446" ht="10.5">
      <c r="M446" s="8"/>
    </row>
    <row r="447" ht="10.5">
      <c r="M447" s="8"/>
    </row>
    <row r="448" ht="10.5">
      <c r="M448" s="8"/>
    </row>
    <row r="449" ht="10.5">
      <c r="M449" s="8"/>
    </row>
    <row r="450" ht="10.5">
      <c r="M450" s="8"/>
    </row>
    <row r="451" ht="10.5">
      <c r="M451" s="8"/>
    </row>
    <row r="452" ht="10.5">
      <c r="M452" s="8"/>
    </row>
    <row r="453" ht="10.5">
      <c r="M453" s="8"/>
    </row>
    <row r="454" ht="10.5">
      <c r="M454" s="8"/>
    </row>
    <row r="455" ht="10.5">
      <c r="M455" s="8"/>
    </row>
    <row r="456" ht="10.5">
      <c r="M456" s="8"/>
    </row>
    <row r="457" ht="10.5">
      <c r="M457" s="8"/>
    </row>
    <row r="458" ht="10.5">
      <c r="M458" s="8"/>
    </row>
    <row r="459" ht="10.5">
      <c r="M459" s="8"/>
    </row>
    <row r="460" ht="10.5">
      <c r="M460" s="8"/>
    </row>
    <row r="461" ht="10.5">
      <c r="M461" s="8"/>
    </row>
    <row r="462" ht="10.5">
      <c r="M462" s="8"/>
    </row>
    <row r="463" ht="10.5">
      <c r="M463" s="8"/>
    </row>
    <row r="464" ht="10.5">
      <c r="M464" s="8"/>
    </row>
    <row r="465" ht="10.5">
      <c r="M465" s="8"/>
    </row>
    <row r="466" ht="10.5">
      <c r="M466" s="8"/>
    </row>
    <row r="467" ht="10.5">
      <c r="M467" s="8"/>
    </row>
    <row r="468" ht="10.5">
      <c r="M468" s="8"/>
    </row>
    <row r="469" ht="10.5">
      <c r="M469" s="8"/>
    </row>
    <row r="470" ht="10.5">
      <c r="M470" s="8"/>
    </row>
    <row r="471" ht="10.5">
      <c r="M471" s="8"/>
    </row>
    <row r="472" ht="10.5">
      <c r="M472" s="8"/>
    </row>
    <row r="473" ht="10.5">
      <c r="M473" s="8"/>
    </row>
    <row r="474" ht="10.5">
      <c r="M474" s="8"/>
    </row>
    <row r="475" ht="10.5">
      <c r="M475" s="8"/>
    </row>
    <row r="476" ht="10.5">
      <c r="M476" s="8"/>
    </row>
    <row r="477" ht="10.5">
      <c r="M477" s="8"/>
    </row>
    <row r="478" ht="10.5">
      <c r="M478" s="8"/>
    </row>
    <row r="479" ht="10.5">
      <c r="M479" s="8"/>
    </row>
    <row r="480" ht="10.5">
      <c r="M480" s="8"/>
    </row>
    <row r="481" ht="10.5">
      <c r="M481" s="8"/>
    </row>
    <row r="482" ht="10.5">
      <c r="M482" s="8"/>
    </row>
    <row r="483" ht="10.5">
      <c r="M483" s="8"/>
    </row>
    <row r="484" ht="10.5">
      <c r="M484" s="8"/>
    </row>
    <row r="485" ht="10.5">
      <c r="M485" s="8"/>
    </row>
    <row r="486" ht="10.5">
      <c r="M486" s="8"/>
    </row>
    <row r="487" ht="10.5">
      <c r="M487" s="8"/>
    </row>
    <row r="488" ht="10.5">
      <c r="M488" s="8"/>
    </row>
    <row r="489" ht="10.5">
      <c r="M489" s="8"/>
    </row>
    <row r="490" ht="10.5">
      <c r="M490" s="8"/>
    </row>
    <row r="491" ht="10.5">
      <c r="M491" s="8"/>
    </row>
    <row r="492" ht="10.5">
      <c r="M492" s="8"/>
    </row>
    <row r="493" ht="10.5">
      <c r="M493" s="8"/>
    </row>
    <row r="494" ht="10.5">
      <c r="M494" s="8"/>
    </row>
    <row r="495" ht="10.5">
      <c r="M495" s="8"/>
    </row>
    <row r="496" ht="10.5">
      <c r="M496" s="8"/>
    </row>
    <row r="497" ht="10.5">
      <c r="M497" s="8"/>
    </row>
    <row r="498" ht="10.5">
      <c r="M498" s="8"/>
    </row>
    <row r="499" ht="10.5">
      <c r="M499" s="8"/>
    </row>
    <row r="500" ht="10.5">
      <c r="M500" s="8"/>
    </row>
    <row r="501" ht="10.5">
      <c r="M501" s="8"/>
    </row>
    <row r="502" ht="10.5">
      <c r="M502" s="8"/>
    </row>
    <row r="503" ht="10.5">
      <c r="M503" s="8"/>
    </row>
    <row r="504" ht="10.5">
      <c r="M504" s="8"/>
    </row>
    <row r="505" ht="10.5">
      <c r="M505" s="8"/>
    </row>
    <row r="506" ht="10.5">
      <c r="M506" s="8"/>
    </row>
    <row r="507" ht="10.5">
      <c r="M507" s="8"/>
    </row>
    <row r="508" ht="10.5">
      <c r="M508" s="8"/>
    </row>
    <row r="509" ht="10.5">
      <c r="M509" s="8"/>
    </row>
    <row r="510" ht="10.5">
      <c r="M510" s="8"/>
    </row>
    <row r="511" ht="10.5">
      <c r="M511" s="8"/>
    </row>
    <row r="512" ht="10.5">
      <c r="M512" s="8"/>
    </row>
    <row r="513" ht="10.5">
      <c r="M513" s="8"/>
    </row>
    <row r="514" ht="10.5">
      <c r="M514" s="8"/>
    </row>
    <row r="515" ht="10.5">
      <c r="M515" s="8"/>
    </row>
    <row r="516" ht="10.5">
      <c r="M516" s="8"/>
    </row>
    <row r="517" ht="10.5">
      <c r="M517" s="8"/>
    </row>
    <row r="518" ht="10.5">
      <c r="M518" s="8"/>
    </row>
    <row r="519" ht="10.5">
      <c r="M519" s="8"/>
    </row>
    <row r="520" ht="10.5">
      <c r="M520" s="8"/>
    </row>
    <row r="521" ht="10.5">
      <c r="M521" s="8"/>
    </row>
    <row r="522" ht="10.5">
      <c r="M522" s="8"/>
    </row>
    <row r="523" ht="10.5">
      <c r="M523" s="8"/>
    </row>
    <row r="524" ht="10.5">
      <c r="M524" s="8"/>
    </row>
    <row r="525" ht="10.5">
      <c r="M525" s="8"/>
    </row>
    <row r="526" ht="10.5">
      <c r="M526" s="8"/>
    </row>
    <row r="527" ht="10.5">
      <c r="M527" s="8"/>
    </row>
    <row r="528" ht="10.5">
      <c r="M528" s="8"/>
    </row>
    <row r="529" ht="10.5">
      <c r="M529" s="8"/>
    </row>
    <row r="530" ht="10.5">
      <c r="M530" s="8"/>
    </row>
    <row r="531" ht="10.5">
      <c r="M531" s="8"/>
    </row>
    <row r="532" ht="10.5">
      <c r="M532" s="8"/>
    </row>
    <row r="533" ht="10.5">
      <c r="M533" s="8"/>
    </row>
    <row r="534" ht="10.5">
      <c r="M534" s="8"/>
    </row>
    <row r="535" ht="10.5">
      <c r="M535" s="8"/>
    </row>
    <row r="536" ht="10.5">
      <c r="M536" s="8"/>
    </row>
    <row r="537" ht="10.5">
      <c r="M537" s="8"/>
    </row>
    <row r="538" ht="10.5">
      <c r="M538" s="8"/>
    </row>
    <row r="539" ht="10.5">
      <c r="M539" s="8"/>
    </row>
    <row r="540" ht="10.5">
      <c r="M540" s="8"/>
    </row>
    <row r="541" ht="10.5">
      <c r="M541" s="8"/>
    </row>
    <row r="542" ht="10.5">
      <c r="M542" s="8"/>
    </row>
    <row r="543" ht="10.5">
      <c r="M543" s="8"/>
    </row>
    <row r="544" ht="10.5">
      <c r="M544" s="8"/>
    </row>
    <row r="545" ht="10.5">
      <c r="M545" s="8"/>
    </row>
    <row r="546" ht="10.5">
      <c r="M546" s="8"/>
    </row>
    <row r="547" ht="10.5">
      <c r="M547" s="8"/>
    </row>
    <row r="548" ht="10.5">
      <c r="M548" s="8"/>
    </row>
    <row r="549" ht="10.5">
      <c r="M549" s="8"/>
    </row>
    <row r="550" ht="10.5">
      <c r="M550" s="8"/>
    </row>
    <row r="551" ht="10.5">
      <c r="M551" s="8"/>
    </row>
    <row r="552" ht="10.5">
      <c r="M552" s="8"/>
    </row>
    <row r="553" ht="10.5">
      <c r="M553" s="8"/>
    </row>
    <row r="554" ht="10.5">
      <c r="M554" s="8"/>
    </row>
    <row r="555" ht="10.5">
      <c r="M555" s="8"/>
    </row>
    <row r="556" ht="10.5">
      <c r="M556" s="8"/>
    </row>
    <row r="557" ht="10.5">
      <c r="M557" s="8"/>
    </row>
    <row r="558" ht="10.5">
      <c r="M558" s="8"/>
    </row>
    <row r="559" ht="10.5">
      <c r="M559" s="8"/>
    </row>
    <row r="560" ht="10.5">
      <c r="M560" s="8"/>
    </row>
    <row r="561" ht="10.5">
      <c r="M561" s="8"/>
    </row>
    <row r="562" ht="10.5">
      <c r="M562" s="8"/>
    </row>
    <row r="563" ht="10.5">
      <c r="M563" s="8"/>
    </row>
    <row r="564" ht="10.5">
      <c r="M564" s="8"/>
    </row>
    <row r="565" ht="10.5">
      <c r="M565" s="8"/>
    </row>
    <row r="566" ht="10.5">
      <c r="M566" s="8"/>
    </row>
    <row r="567" ht="10.5">
      <c r="M567" s="8"/>
    </row>
    <row r="568" ht="10.5">
      <c r="M568" s="8"/>
    </row>
    <row r="569" ht="10.5">
      <c r="M569" s="8"/>
    </row>
    <row r="570" ht="10.5">
      <c r="M570" s="8"/>
    </row>
    <row r="571" ht="10.5">
      <c r="M571" s="8"/>
    </row>
    <row r="572" ht="10.5">
      <c r="M572" s="8"/>
    </row>
    <row r="573" ht="10.5">
      <c r="M573" s="8"/>
    </row>
    <row r="574" ht="10.5">
      <c r="M574" s="8"/>
    </row>
    <row r="575" ht="10.5">
      <c r="M575" s="8"/>
    </row>
    <row r="576" ht="10.5">
      <c r="M576" s="8"/>
    </row>
    <row r="577" ht="10.5">
      <c r="M577" s="8"/>
    </row>
    <row r="578" ht="10.5">
      <c r="M578" s="8"/>
    </row>
    <row r="579" ht="10.5">
      <c r="M579" s="8"/>
    </row>
    <row r="580" ht="10.5">
      <c r="M580" s="8"/>
    </row>
    <row r="581" ht="10.5">
      <c r="M581" s="8"/>
    </row>
    <row r="582" ht="10.5">
      <c r="M582" s="8"/>
    </row>
    <row r="583" ht="10.5">
      <c r="M583" s="8"/>
    </row>
    <row r="584" ht="10.5">
      <c r="M584" s="8"/>
    </row>
    <row r="585" ht="10.5">
      <c r="M585" s="8"/>
    </row>
    <row r="586" ht="10.5">
      <c r="M586" s="8"/>
    </row>
    <row r="587" ht="10.5">
      <c r="M587" s="8"/>
    </row>
    <row r="588" ht="10.5">
      <c r="M588" s="8"/>
    </row>
    <row r="589" ht="10.5">
      <c r="M589" s="8"/>
    </row>
    <row r="590" ht="10.5">
      <c r="M590" s="8"/>
    </row>
    <row r="591" ht="10.5">
      <c r="M591" s="8"/>
    </row>
    <row r="592" ht="10.5">
      <c r="M592" s="8"/>
    </row>
    <row r="593" ht="10.5">
      <c r="M593" s="8"/>
    </row>
    <row r="594" ht="10.5">
      <c r="M594" s="8"/>
    </row>
    <row r="595" ht="10.5">
      <c r="M595" s="8"/>
    </row>
    <row r="596" ht="10.5">
      <c r="M596" s="8"/>
    </row>
    <row r="597" ht="10.5">
      <c r="M597" s="8"/>
    </row>
    <row r="598" ht="10.5">
      <c r="M598" s="8"/>
    </row>
    <row r="599" ht="10.5">
      <c r="M599" s="8"/>
    </row>
    <row r="600" ht="10.5">
      <c r="M600" s="8"/>
    </row>
    <row r="601" ht="10.5">
      <c r="M601" s="8"/>
    </row>
    <row r="602" ht="10.5">
      <c r="M602" s="8"/>
    </row>
    <row r="603" ht="10.5">
      <c r="M603" s="8"/>
    </row>
    <row r="604" ht="10.5">
      <c r="M604" s="8"/>
    </row>
    <row r="605" ht="10.5">
      <c r="M605" s="8"/>
    </row>
    <row r="606" ht="10.5">
      <c r="M606" s="8"/>
    </row>
  </sheetData>
  <printOptions/>
  <pageMargins left="0.7" right="0.7" top="0.32" bottom="0.32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5"/>
  <sheetViews>
    <sheetView showGridLines="0" workbookViewId="0" topLeftCell="A14">
      <selection activeCell="A15" sqref="A15"/>
    </sheetView>
  </sheetViews>
  <sheetFormatPr defaultColWidth="9.140625" defaultRowHeight="12.75"/>
  <cols>
    <col min="1" max="2" width="18.7109375" style="73" customWidth="1"/>
    <col min="3" max="3" width="12.7109375" style="73" customWidth="1"/>
    <col min="4" max="4" width="1.7109375" style="73" customWidth="1"/>
    <col min="5" max="6" width="14.7109375" style="98" customWidth="1"/>
    <col min="7" max="8" width="1.7109375" style="98" customWidth="1"/>
    <col min="9" max="9" width="14.7109375" style="100" customWidth="1"/>
    <col min="10" max="10" width="1.7109375" style="98" customWidth="1"/>
    <col min="11" max="11" width="14.7109375" style="98" customWidth="1"/>
    <col min="12" max="12" width="1.7109375" style="98" customWidth="1"/>
    <col min="13" max="13" width="14.7109375" style="98" customWidth="1"/>
    <col min="14" max="33" width="10.7109375" style="73" customWidth="1"/>
    <col min="34" max="16384" width="9.140625" style="73" customWidth="1"/>
  </cols>
  <sheetData>
    <row r="1" spans="1:13" ht="11.25">
      <c r="A1" s="68" t="s">
        <v>58</v>
      </c>
      <c r="B1" s="69"/>
      <c r="C1" s="70"/>
      <c r="D1" s="69"/>
      <c r="E1" s="405" t="str">
        <f>Cover!A11</f>
        <v>男　鹿　ゴ　ル　フ　ク　ラ　ブ</v>
      </c>
      <c r="F1" s="405"/>
      <c r="G1" s="69"/>
      <c r="H1" s="69"/>
      <c r="I1" s="71"/>
      <c r="J1" s="69"/>
      <c r="K1" s="69"/>
      <c r="L1" s="69"/>
      <c r="M1" s="72"/>
    </row>
    <row r="2" spans="1:13" ht="11.25">
      <c r="A2" s="74" t="s">
        <v>26</v>
      </c>
      <c r="B2" s="112">
        <f>Audit!A24</f>
        <v>37580</v>
      </c>
      <c r="C2" s="76"/>
      <c r="D2" s="77"/>
      <c r="E2" s="76"/>
      <c r="F2" s="76"/>
      <c r="G2" s="76"/>
      <c r="H2" s="76"/>
      <c r="I2" s="78"/>
      <c r="J2" s="76"/>
      <c r="K2" s="76"/>
      <c r="L2" s="76"/>
      <c r="M2" s="79"/>
    </row>
    <row r="3" spans="1:13" ht="12" thickBot="1">
      <c r="A3" s="74" t="s">
        <v>59</v>
      </c>
      <c r="B3" s="264" t="str">
        <f>'Soil-F'!E3</f>
        <v>FAIRWAYS</v>
      </c>
      <c r="C3" s="76"/>
      <c r="D3" s="77"/>
      <c r="E3" s="217" t="str">
        <f>'Soil-F'!C5</f>
        <v>#2</v>
      </c>
      <c r="F3" s="217" t="str">
        <f>'Soil-F'!D5</f>
        <v>#16</v>
      </c>
      <c r="G3" s="76"/>
      <c r="H3" s="76"/>
      <c r="I3" s="78"/>
      <c r="J3" s="76"/>
      <c r="K3" s="76"/>
      <c r="L3" s="76"/>
      <c r="M3" s="79"/>
    </row>
    <row r="4" spans="1:13" ht="12.75" customHeight="1">
      <c r="A4" s="237"/>
      <c r="B4" s="238"/>
      <c r="C4" s="239"/>
      <c r="D4" s="238"/>
      <c r="E4" s="239"/>
      <c r="F4" s="239"/>
      <c r="G4" s="239"/>
      <c r="H4" s="239"/>
      <c r="I4" s="255" t="s">
        <v>60</v>
      </c>
      <c r="J4" s="240"/>
      <c r="K4" s="240" t="s">
        <v>61</v>
      </c>
      <c r="L4" s="240"/>
      <c r="M4" s="241"/>
    </row>
    <row r="5" spans="1:13" ht="12.75" customHeight="1">
      <c r="A5" s="242" t="s">
        <v>62</v>
      </c>
      <c r="B5" s="84" t="s">
        <v>63</v>
      </c>
      <c r="C5" s="80"/>
      <c r="D5" s="81"/>
      <c r="E5" s="85" t="str">
        <f>E3</f>
        <v>#2</v>
      </c>
      <c r="F5" s="85" t="str">
        <f>F3</f>
        <v>#16</v>
      </c>
      <c r="G5" s="85" t="s">
        <v>1</v>
      </c>
      <c r="H5" s="85"/>
      <c r="I5" s="256" t="s">
        <v>64</v>
      </c>
      <c r="J5" s="87"/>
      <c r="K5" s="87" t="s">
        <v>65</v>
      </c>
      <c r="L5" s="87" t="s">
        <v>1</v>
      </c>
      <c r="M5" s="243" t="s">
        <v>66</v>
      </c>
    </row>
    <row r="6" spans="1:13" ht="12.75" customHeight="1">
      <c r="A6" s="244" t="s">
        <v>67</v>
      </c>
      <c r="B6" s="77" t="s">
        <v>67</v>
      </c>
      <c r="C6" s="80" t="s">
        <v>68</v>
      </c>
      <c r="D6" s="81"/>
      <c r="E6" s="80">
        <f>'Soil-F'!C7</f>
        <v>8.33</v>
      </c>
      <c r="F6" s="80">
        <f>'Soil-F'!D7</f>
        <v>10.88</v>
      </c>
      <c r="G6" s="90"/>
      <c r="H6" s="80"/>
      <c r="I6" s="257">
        <f>AVERAGE(E6:F6)</f>
        <v>9.605</v>
      </c>
      <c r="J6" s="89"/>
      <c r="K6" s="89">
        <v>10</v>
      </c>
      <c r="L6" s="89"/>
      <c r="M6" s="245">
        <f>(SUM(I6-K6))</f>
        <v>-0.3949999999999996</v>
      </c>
    </row>
    <row r="7" spans="1:13" ht="12.75" customHeight="1">
      <c r="A7" s="244" t="s">
        <v>69</v>
      </c>
      <c r="B7" s="77" t="s">
        <v>27</v>
      </c>
      <c r="C7" s="80" t="s">
        <v>70</v>
      </c>
      <c r="D7" s="81"/>
      <c r="E7" s="80">
        <f>'Soil-F'!C6</f>
        <v>4.6</v>
      </c>
      <c r="F7" s="80">
        <f>'Soil-F'!D6</f>
        <v>4.8</v>
      </c>
      <c r="G7" s="90"/>
      <c r="H7" s="80"/>
      <c r="I7" s="257">
        <f>AVERAGE(E7:F7)</f>
        <v>4.699999999999999</v>
      </c>
      <c r="J7" s="89"/>
      <c r="K7" s="89">
        <v>6.5</v>
      </c>
      <c r="L7" s="89"/>
      <c r="M7" s="245">
        <f>(SUM(I7-K7))</f>
        <v>-1.8000000000000007</v>
      </c>
    </row>
    <row r="8" spans="1:13" ht="12.75" customHeight="1">
      <c r="A8" s="244" t="s">
        <v>71</v>
      </c>
      <c r="B8" s="77" t="s">
        <v>72</v>
      </c>
      <c r="C8" s="80" t="s">
        <v>73</v>
      </c>
      <c r="D8" s="81"/>
      <c r="E8" s="80">
        <f>'Soil-F'!C8</f>
        <v>14.1</v>
      </c>
      <c r="F8" s="80">
        <f>'Soil-F'!D8</f>
        <v>11.54</v>
      </c>
      <c r="G8" s="90"/>
      <c r="H8" s="80"/>
      <c r="I8" s="257">
        <f>AVERAGE(E8:F8)</f>
        <v>12.82</v>
      </c>
      <c r="J8" s="89"/>
      <c r="K8" s="89">
        <v>2.5</v>
      </c>
      <c r="L8" s="89"/>
      <c r="M8" s="245">
        <f>(SUM(I8-K8))</f>
        <v>10.32</v>
      </c>
    </row>
    <row r="9" spans="1:13" ht="12.75" customHeight="1">
      <c r="A9" s="244"/>
      <c r="B9" s="77"/>
      <c r="C9" s="76"/>
      <c r="D9" s="77"/>
      <c r="E9" s="76"/>
      <c r="F9" s="76"/>
      <c r="G9" s="91"/>
      <c r="H9" s="76"/>
      <c r="I9" s="258"/>
      <c r="J9" s="83"/>
      <c r="K9" s="83"/>
      <c r="L9" s="83"/>
      <c r="M9" s="246"/>
    </row>
    <row r="10" spans="1:13" ht="11.25">
      <c r="A10" s="242" t="s">
        <v>74</v>
      </c>
      <c r="B10" s="84" t="s">
        <v>75</v>
      </c>
      <c r="C10" s="76"/>
      <c r="D10" s="77"/>
      <c r="E10" s="76"/>
      <c r="F10" s="76"/>
      <c r="G10" s="91"/>
      <c r="H10" s="76"/>
      <c r="I10" s="258"/>
      <c r="J10" s="83"/>
      <c r="K10" s="83"/>
      <c r="L10" s="83"/>
      <c r="M10" s="246"/>
    </row>
    <row r="11" spans="1:13" ht="11.25">
      <c r="A11" s="244" t="s">
        <v>76</v>
      </c>
      <c r="B11" s="77" t="s">
        <v>77</v>
      </c>
      <c r="C11" s="80" t="s">
        <v>78</v>
      </c>
      <c r="D11" s="81"/>
      <c r="E11" s="82">
        <f>'Soil-F'!C54</f>
        <v>13.224586661691056</v>
      </c>
      <c r="F11" s="82">
        <f>'Soil-F'!D54</f>
        <v>13.120456058055693</v>
      </c>
      <c r="G11" s="90"/>
      <c r="H11" s="80"/>
      <c r="I11" s="257">
        <f>AVERAGE(E11:F11)</f>
        <v>13.172521359873375</v>
      </c>
      <c r="J11" s="89"/>
      <c r="K11" s="88">
        <v>3.15</v>
      </c>
      <c r="L11" s="89"/>
      <c r="M11" s="245">
        <f>(SUM(I11-K11))</f>
        <v>10.022521359873375</v>
      </c>
    </row>
    <row r="12" spans="1:13" ht="11.25">
      <c r="A12" s="244" t="s">
        <v>79</v>
      </c>
      <c r="B12" s="77" t="s">
        <v>80</v>
      </c>
      <c r="C12" s="80" t="s">
        <v>28</v>
      </c>
      <c r="D12" s="81"/>
      <c r="E12" s="80">
        <f>'Soil-F'!C15</f>
        <v>74</v>
      </c>
      <c r="F12" s="80">
        <f>'Soil-F'!D15</f>
        <v>67</v>
      </c>
      <c r="G12" s="90"/>
      <c r="H12" s="80"/>
      <c r="I12" s="257">
        <f>AVERAGE(E12:F12)</f>
        <v>70.5</v>
      </c>
      <c r="J12" s="89"/>
      <c r="K12" s="88">
        <v>3.15</v>
      </c>
      <c r="L12" s="89"/>
      <c r="M12" s="245">
        <f>(SUM(I12-K12))</f>
        <v>67.35</v>
      </c>
    </row>
    <row r="13" spans="1:13" ht="11.25">
      <c r="A13" s="244" t="s">
        <v>81</v>
      </c>
      <c r="B13" s="77" t="s">
        <v>82</v>
      </c>
      <c r="C13" s="80" t="s">
        <v>78</v>
      </c>
      <c r="D13" s="81"/>
      <c r="E13" s="82">
        <f>'Soil-F'!C56</f>
        <v>83.51274411556085</v>
      </c>
      <c r="F13" s="82">
        <f>'Soil-F'!D56</f>
        <v>154.00916277670134</v>
      </c>
      <c r="G13" s="90" t="s">
        <v>1</v>
      </c>
      <c r="H13" s="80"/>
      <c r="I13" s="257">
        <f>AVERAGE(E13:F13)</f>
        <v>118.7609534461311</v>
      </c>
      <c r="J13" s="89"/>
      <c r="K13" s="88">
        <v>31.25</v>
      </c>
      <c r="L13" s="89"/>
      <c r="M13" s="245">
        <f>(SUM(I13-K13))</f>
        <v>87.5109534461311</v>
      </c>
    </row>
    <row r="14" spans="1:13" ht="11.25">
      <c r="A14" s="244" t="s">
        <v>83</v>
      </c>
      <c r="B14" s="77" t="s">
        <v>82</v>
      </c>
      <c r="C14" s="80" t="s">
        <v>78</v>
      </c>
      <c r="D14" s="81"/>
      <c r="E14" s="82">
        <f>'Soil-F'!C57</f>
        <v>101.63146914811395</v>
      </c>
      <c r="F14" s="82">
        <f>'Soil-F'!D57</f>
        <v>110.69083166439049</v>
      </c>
      <c r="G14" s="90"/>
      <c r="H14" s="80"/>
      <c r="I14" s="257">
        <f>AVERAGE(E14:F14)</f>
        <v>106.16115040625222</v>
      </c>
      <c r="J14" s="89"/>
      <c r="K14" s="88">
        <v>36.5</v>
      </c>
      <c r="L14" s="89"/>
      <c r="M14" s="245">
        <f>(SUM(I14-K14))</f>
        <v>69.66115040625222</v>
      </c>
    </row>
    <row r="15" spans="1:13" ht="11.25">
      <c r="A15" s="244"/>
      <c r="B15" s="77"/>
      <c r="C15" s="76"/>
      <c r="D15" s="77"/>
      <c r="E15" s="76"/>
      <c r="F15" s="76"/>
      <c r="G15" s="91"/>
      <c r="H15" s="76"/>
      <c r="I15" s="258"/>
      <c r="J15" s="83"/>
      <c r="K15" s="83"/>
      <c r="L15" s="83"/>
      <c r="M15" s="246"/>
    </row>
    <row r="16" spans="1:13" ht="11.25">
      <c r="A16" s="242" t="s">
        <v>84</v>
      </c>
      <c r="B16" s="84" t="s">
        <v>85</v>
      </c>
      <c r="C16" s="76"/>
      <c r="D16" s="77"/>
      <c r="E16" s="76"/>
      <c r="F16" s="76"/>
      <c r="G16" s="91"/>
      <c r="H16" s="76"/>
      <c r="I16" s="258"/>
      <c r="J16" s="83"/>
      <c r="K16" s="83"/>
      <c r="L16" s="83"/>
      <c r="M16" s="246"/>
    </row>
    <row r="17" spans="1:13" ht="11.25">
      <c r="A17" s="244" t="s">
        <v>30</v>
      </c>
      <c r="B17" s="77" t="s">
        <v>31</v>
      </c>
      <c r="C17" s="80" t="s">
        <v>78</v>
      </c>
      <c r="D17" s="81"/>
      <c r="E17" s="82">
        <f>'Soil-F'!C59</f>
        <v>73.72446737383676</v>
      </c>
      <c r="F17" s="82">
        <f>'Soil-F'!D59</f>
        <v>109.12887260986005</v>
      </c>
      <c r="G17" s="90"/>
      <c r="H17" s="80"/>
      <c r="I17" s="257">
        <f>AVERAGE(E17:F17)</f>
        <v>91.4266699918484</v>
      </c>
      <c r="J17" s="89"/>
      <c r="K17" s="88">
        <f>'Soil-F'!F59</f>
        <v>272.0474498336031</v>
      </c>
      <c r="L17" s="89"/>
      <c r="M17" s="245">
        <f>(SUM(I17-K17))</f>
        <v>-180.62077984175468</v>
      </c>
    </row>
    <row r="18" spans="1:13" ht="11.25">
      <c r="A18" s="244" t="s">
        <v>33</v>
      </c>
      <c r="B18" s="77" t="s">
        <v>34</v>
      </c>
      <c r="C18" s="80" t="s">
        <v>78</v>
      </c>
      <c r="D18" s="81"/>
      <c r="E18" s="82">
        <f>'Soil-F'!C60</f>
        <v>17.910463825282374</v>
      </c>
      <c r="F18" s="82">
        <f>'Soil-F'!D60</f>
        <v>25.61612849429921</v>
      </c>
      <c r="G18" s="90"/>
      <c r="H18" s="80"/>
      <c r="I18" s="257">
        <f>AVERAGE(E18:F18)</f>
        <v>21.76329615979079</v>
      </c>
      <c r="J18" s="89"/>
      <c r="K18" s="88">
        <f>'Soil-F'!F60</f>
        <v>36.0062801250357</v>
      </c>
      <c r="L18" s="89"/>
      <c r="M18" s="245">
        <f>(SUM(I18-K18))</f>
        <v>-14.24298396524491</v>
      </c>
    </row>
    <row r="19" spans="1:13" ht="11.25">
      <c r="A19" s="244" t="s">
        <v>36</v>
      </c>
      <c r="B19" s="77" t="s">
        <v>37</v>
      </c>
      <c r="C19" s="80" t="s">
        <v>78</v>
      </c>
      <c r="D19" s="81"/>
      <c r="E19" s="82">
        <f>'Soil-F'!C61</f>
        <v>48.10833887953754</v>
      </c>
      <c r="F19" s="82">
        <f>'Soil-F'!D61</f>
        <v>70.18402685023442</v>
      </c>
      <c r="G19" s="90"/>
      <c r="H19" s="80"/>
      <c r="I19" s="257">
        <f>AVERAGE(E19:F19)</f>
        <v>59.14618286488598</v>
      </c>
      <c r="J19" s="89"/>
      <c r="K19" s="88">
        <f>'Soil-F'!F61</f>
        <v>39.00680346878867</v>
      </c>
      <c r="L19" s="89"/>
      <c r="M19" s="245">
        <f>(SUM(I19-K19))</f>
        <v>20.13937939609731</v>
      </c>
    </row>
    <row r="20" spans="1:13" ht="11.25">
      <c r="A20" s="244" t="s">
        <v>39</v>
      </c>
      <c r="B20" s="77" t="s">
        <v>40</v>
      </c>
      <c r="C20" s="80" t="s">
        <v>78</v>
      </c>
      <c r="D20" s="81"/>
      <c r="E20" s="82">
        <f>'Soil-F'!C62</f>
        <v>7.289142254475386</v>
      </c>
      <c r="F20" s="82">
        <f>'Soil-F'!D62</f>
        <v>9.163493119911912</v>
      </c>
      <c r="G20" s="90"/>
      <c r="H20" s="80"/>
      <c r="I20" s="257">
        <f>AVERAGE(E20:F20)</f>
        <v>8.22631768719365</v>
      </c>
      <c r="J20" s="89"/>
      <c r="K20" s="88">
        <f>'Soil-F'!F62</f>
        <v>13.90242482605545</v>
      </c>
      <c r="L20" s="89"/>
      <c r="M20" s="245">
        <f>(SUM(I20-K20))</f>
        <v>-5.6761071388618</v>
      </c>
    </row>
    <row r="21" spans="1:13" ht="11.25">
      <c r="A21" s="244"/>
      <c r="B21" s="77"/>
      <c r="C21" s="76"/>
      <c r="D21" s="77"/>
      <c r="E21" s="76"/>
      <c r="F21" s="76"/>
      <c r="G21" s="91"/>
      <c r="H21" s="76"/>
      <c r="I21" s="258"/>
      <c r="J21" s="83"/>
      <c r="K21" s="83"/>
      <c r="L21" s="83"/>
      <c r="M21" s="246"/>
    </row>
    <row r="22" spans="1:13" ht="11.25">
      <c r="A22" s="242" t="s">
        <v>86</v>
      </c>
      <c r="B22" s="84" t="s">
        <v>87</v>
      </c>
      <c r="C22" s="76"/>
      <c r="D22" s="77"/>
      <c r="E22" s="76"/>
      <c r="F22" s="76"/>
      <c r="G22" s="91"/>
      <c r="H22" s="76"/>
      <c r="I22" s="258"/>
      <c r="J22" s="83"/>
      <c r="K22" s="83"/>
      <c r="L22" s="83"/>
      <c r="M22" s="246"/>
    </row>
    <row r="23" spans="1:13" ht="11.25">
      <c r="A23" s="244" t="s">
        <v>30</v>
      </c>
      <c r="B23" s="77" t="s">
        <v>31</v>
      </c>
      <c r="C23" s="80" t="s">
        <v>73</v>
      </c>
      <c r="D23" s="81"/>
      <c r="E23" s="113">
        <f>'Soil-F'!C32</f>
        <v>0.21248499399759904</v>
      </c>
      <c r="F23" s="113">
        <f>'Soil-F'!D32</f>
        <v>0.24080882352941177</v>
      </c>
      <c r="G23" s="114"/>
      <c r="H23" s="113"/>
      <c r="I23" s="266">
        <f>AVERAGE(E23:F23)</f>
        <v>0.2266469087635054</v>
      </c>
      <c r="J23" s="115"/>
      <c r="K23" s="115">
        <v>0.68</v>
      </c>
      <c r="L23" s="115"/>
      <c r="M23" s="247">
        <f>(SUM(I23-K23))</f>
        <v>-0.45335309123649464</v>
      </c>
    </row>
    <row r="24" spans="1:13" ht="11.25">
      <c r="A24" s="244" t="s">
        <v>33</v>
      </c>
      <c r="B24" s="77" t="s">
        <v>34</v>
      </c>
      <c r="C24" s="94" t="s">
        <v>73</v>
      </c>
      <c r="D24" s="95"/>
      <c r="E24" s="113">
        <f>'Soil-F'!C33</f>
        <v>0.0430172068827531</v>
      </c>
      <c r="F24" s="113">
        <f>'Soil-F'!D33</f>
        <v>0.0471047794117647</v>
      </c>
      <c r="G24" s="116"/>
      <c r="H24" s="117"/>
      <c r="I24" s="266">
        <f>AVERAGE(E24:F24)</f>
        <v>0.0450609931472589</v>
      </c>
      <c r="J24" s="118"/>
      <c r="K24" s="118">
        <v>0.15</v>
      </c>
      <c r="L24" s="118"/>
      <c r="M24" s="247">
        <f>(SUM(I24-K24))</f>
        <v>-0.1049390068527411</v>
      </c>
    </row>
    <row r="25" spans="1:13" ht="11.25">
      <c r="A25" s="244" t="s">
        <v>36</v>
      </c>
      <c r="B25" s="77" t="s">
        <v>37</v>
      </c>
      <c r="C25" s="80" t="s">
        <v>73</v>
      </c>
      <c r="D25" s="81"/>
      <c r="E25" s="113">
        <f>'Soil-F'!C34</f>
        <v>0.07110536522301228</v>
      </c>
      <c r="F25" s="113">
        <f>'Soil-F'!D34</f>
        <v>0.07942119155354448</v>
      </c>
      <c r="G25" s="114"/>
      <c r="H25" s="113"/>
      <c r="I25" s="266">
        <f>AVERAGE(E25:F25)</f>
        <v>0.07526327838827837</v>
      </c>
      <c r="J25" s="115"/>
      <c r="K25" s="115">
        <v>0.05</v>
      </c>
      <c r="L25" s="115"/>
      <c r="M25" s="247">
        <f>(SUM(I25-K25))</f>
        <v>0.025263278388278368</v>
      </c>
    </row>
    <row r="26" spans="1:13" ht="11.25">
      <c r="A26" s="244" t="s">
        <v>39</v>
      </c>
      <c r="B26" s="77" t="s">
        <v>40</v>
      </c>
      <c r="C26" s="80" t="s">
        <v>73</v>
      </c>
      <c r="D26" s="81"/>
      <c r="E26" s="113">
        <f>'Soil-F'!C35</f>
        <v>0.006045583701106342</v>
      </c>
      <c r="F26" s="113">
        <f>'Soil-F'!D35</f>
        <v>0.005818874312314854</v>
      </c>
      <c r="G26" s="114"/>
      <c r="H26" s="113"/>
      <c r="I26" s="266">
        <f>AVERAGE(E26:F26)</f>
        <v>0.005932229006710598</v>
      </c>
      <c r="J26" s="115"/>
      <c r="K26" s="115">
        <v>0.01</v>
      </c>
      <c r="L26" s="115"/>
      <c r="M26" s="247">
        <f>(SUM(I26-K26))</f>
        <v>-0.004067770993289402</v>
      </c>
    </row>
    <row r="27" spans="1:13" ht="11.25">
      <c r="A27" s="244"/>
      <c r="B27" s="77"/>
      <c r="C27" s="76"/>
      <c r="D27" s="77"/>
      <c r="E27" s="76"/>
      <c r="F27" s="76"/>
      <c r="G27" s="91"/>
      <c r="H27" s="76"/>
      <c r="I27" s="258"/>
      <c r="J27" s="83"/>
      <c r="K27" s="83"/>
      <c r="L27" s="83"/>
      <c r="M27" s="246"/>
    </row>
    <row r="28" spans="1:13" ht="11.25">
      <c r="A28" s="242" t="s">
        <v>88</v>
      </c>
      <c r="B28" s="84" t="s">
        <v>89</v>
      </c>
      <c r="C28" s="76"/>
      <c r="D28" s="77"/>
      <c r="E28" s="76"/>
      <c r="F28" s="76"/>
      <c r="G28" s="91"/>
      <c r="H28" s="76"/>
      <c r="I28" s="258"/>
      <c r="J28" s="83"/>
      <c r="K28" s="83"/>
      <c r="L28" s="83"/>
      <c r="M28" s="246"/>
    </row>
    <row r="29" spans="1:13" ht="11.25">
      <c r="A29" s="244" t="s">
        <v>90</v>
      </c>
      <c r="B29" s="77" t="s">
        <v>91</v>
      </c>
      <c r="C29" s="80" t="s">
        <v>28</v>
      </c>
      <c r="D29" s="81"/>
      <c r="E29" s="80">
        <f>'Soil-F'!C38</f>
        <v>0.2</v>
      </c>
      <c r="F29" s="80">
        <f>'Soil-F'!D38</f>
        <v>0.2</v>
      </c>
      <c r="G29" s="90"/>
      <c r="H29" s="80"/>
      <c r="I29" s="257">
        <f aca="true" t="shared" si="0" ref="I29:I34">AVERAGE(E29:F29)</f>
        <v>0.2</v>
      </c>
      <c r="J29" s="89"/>
      <c r="K29" s="97">
        <v>2</v>
      </c>
      <c r="L29" s="89"/>
      <c r="M29" s="245">
        <f aca="true" t="shared" si="1" ref="M29:M34">(SUM(I29-K29))</f>
        <v>-1.8</v>
      </c>
    </row>
    <row r="30" spans="1:13" ht="11.25">
      <c r="A30" s="244" t="s">
        <v>92</v>
      </c>
      <c r="B30" s="77" t="s">
        <v>42</v>
      </c>
      <c r="C30" s="80" t="s">
        <v>28</v>
      </c>
      <c r="D30" s="81"/>
      <c r="E30" s="80">
        <f>'Soil-F'!C39</f>
        <v>296</v>
      </c>
      <c r="F30" s="80">
        <f>'Soil-F'!D39</f>
        <v>390</v>
      </c>
      <c r="G30" s="90"/>
      <c r="H30" s="80"/>
      <c r="I30" s="257">
        <f t="shared" si="0"/>
        <v>343</v>
      </c>
      <c r="J30" s="89"/>
      <c r="K30" s="97">
        <v>250</v>
      </c>
      <c r="L30" s="89"/>
      <c r="M30" s="245">
        <f t="shared" si="1"/>
        <v>93</v>
      </c>
    </row>
    <row r="31" spans="1:13" ht="11.25">
      <c r="A31" s="244" t="s">
        <v>93</v>
      </c>
      <c r="B31" s="77" t="s">
        <v>94</v>
      </c>
      <c r="C31" s="80" t="s">
        <v>28</v>
      </c>
      <c r="D31" s="81"/>
      <c r="E31" s="80">
        <f>'Soil-F'!C40</f>
        <v>29</v>
      </c>
      <c r="F31" s="80">
        <f>'Soil-F'!D40</f>
        <v>36</v>
      </c>
      <c r="G31" s="90"/>
      <c r="H31" s="80"/>
      <c r="I31" s="257">
        <f t="shared" si="0"/>
        <v>32.5</v>
      </c>
      <c r="J31" s="89"/>
      <c r="K31" s="97">
        <v>60</v>
      </c>
      <c r="L31" s="89"/>
      <c r="M31" s="245">
        <f t="shared" si="1"/>
        <v>-27.5</v>
      </c>
    </row>
    <row r="32" spans="1:13" ht="11.25">
      <c r="A32" s="244" t="s">
        <v>95</v>
      </c>
      <c r="B32" s="77" t="s">
        <v>48</v>
      </c>
      <c r="C32" s="80" t="s">
        <v>28</v>
      </c>
      <c r="D32" s="81"/>
      <c r="E32" s="80">
        <f>'Soil-F'!C41</f>
        <v>1.2</v>
      </c>
      <c r="F32" s="80">
        <f>'Soil-F'!D41</f>
        <v>1.75</v>
      </c>
      <c r="G32" s="90"/>
      <c r="H32" s="80"/>
      <c r="I32" s="257">
        <f t="shared" si="0"/>
        <v>1.475</v>
      </c>
      <c r="J32" s="89"/>
      <c r="K32" s="97">
        <v>3</v>
      </c>
      <c r="L32" s="89"/>
      <c r="M32" s="245">
        <f t="shared" si="1"/>
        <v>-1.525</v>
      </c>
    </row>
    <row r="33" spans="1:13" ht="11.25">
      <c r="A33" s="244" t="s">
        <v>96</v>
      </c>
      <c r="B33" s="77" t="s">
        <v>51</v>
      </c>
      <c r="C33" s="80" t="s">
        <v>28</v>
      </c>
      <c r="D33" s="81"/>
      <c r="E33" s="80">
        <f>'Soil-F'!C42</f>
        <v>2.49</v>
      </c>
      <c r="F33" s="80">
        <f>'Soil-F'!D42</f>
        <v>2.77</v>
      </c>
      <c r="G33" s="90"/>
      <c r="H33" s="80"/>
      <c r="I33" s="257">
        <f t="shared" si="0"/>
        <v>2.63</v>
      </c>
      <c r="J33" s="89"/>
      <c r="K33" s="97">
        <v>12</v>
      </c>
      <c r="L33" s="89"/>
      <c r="M33" s="245">
        <f t="shared" si="1"/>
        <v>-9.370000000000001</v>
      </c>
    </row>
    <row r="34" spans="1:13" ht="11.25">
      <c r="A34" s="244" t="s">
        <v>97</v>
      </c>
      <c r="B34" s="77" t="s">
        <v>54</v>
      </c>
      <c r="C34" s="80" t="s">
        <v>28</v>
      </c>
      <c r="D34" s="81"/>
      <c r="E34" s="80">
        <f>'Soil-F'!C43</f>
        <v>1848</v>
      </c>
      <c r="F34" s="80">
        <f>'Soil-F'!D43</f>
        <v>1687</v>
      </c>
      <c r="G34" s="90"/>
      <c r="H34" s="80"/>
      <c r="I34" s="257">
        <f t="shared" si="0"/>
        <v>1767.5</v>
      </c>
      <c r="J34" s="89"/>
      <c r="K34" s="97">
        <v>400</v>
      </c>
      <c r="L34" s="89"/>
      <c r="M34" s="245">
        <f t="shared" si="1"/>
        <v>1367.5</v>
      </c>
    </row>
    <row r="35" spans="1:13" ht="11.25">
      <c r="A35" s="244" t="s">
        <v>98</v>
      </c>
      <c r="B35" s="77" t="s">
        <v>99</v>
      </c>
      <c r="C35" s="80" t="s">
        <v>28</v>
      </c>
      <c r="D35" s="81"/>
      <c r="E35" s="80"/>
      <c r="F35" s="80"/>
      <c r="G35" s="90"/>
      <c r="H35" s="80"/>
      <c r="I35" s="257"/>
      <c r="J35" s="89"/>
      <c r="K35" s="97" t="s">
        <v>1</v>
      </c>
      <c r="L35" s="89"/>
      <c r="M35" s="248"/>
    </row>
    <row r="36" spans="1:13" ht="11.25">
      <c r="A36" s="244"/>
      <c r="B36" s="77"/>
      <c r="C36" s="76"/>
      <c r="D36" s="77"/>
      <c r="E36" s="76"/>
      <c r="F36" s="76"/>
      <c r="G36" s="91"/>
      <c r="H36" s="76"/>
      <c r="I36" s="258"/>
      <c r="J36" s="83"/>
      <c r="K36" s="83"/>
      <c r="L36" s="83"/>
      <c r="M36" s="246"/>
    </row>
    <row r="37" spans="1:13" ht="11.25">
      <c r="A37" s="242" t="s">
        <v>100</v>
      </c>
      <c r="B37" s="84" t="s">
        <v>101</v>
      </c>
      <c r="C37" s="76"/>
      <c r="D37" s="77"/>
      <c r="E37" s="76"/>
      <c r="F37" s="76"/>
      <c r="G37" s="91"/>
      <c r="H37" s="76"/>
      <c r="I37" s="258"/>
      <c r="J37" s="83"/>
      <c r="K37" s="83"/>
      <c r="L37" s="83"/>
      <c r="M37" s="246"/>
    </row>
    <row r="38" spans="1:13" ht="11.25">
      <c r="A38" s="244" t="s">
        <v>102</v>
      </c>
      <c r="B38" s="77" t="s">
        <v>103</v>
      </c>
      <c r="C38" s="80" t="s">
        <v>28</v>
      </c>
      <c r="D38" s="81"/>
      <c r="E38" s="80">
        <f>'Soil-F'!C11</f>
        <v>5.2</v>
      </c>
      <c r="F38" s="80">
        <f>'Soil-F'!D11</f>
        <v>3</v>
      </c>
      <c r="G38" s="90"/>
      <c r="H38" s="80"/>
      <c r="I38" s="257">
        <f>AVERAGE(E38:F38)</f>
        <v>4.1</v>
      </c>
      <c r="J38" s="89"/>
      <c r="K38" s="88">
        <v>20</v>
      </c>
      <c r="L38" s="89"/>
      <c r="M38" s="245">
        <f>(SUM(I38-K38))</f>
        <v>-15.9</v>
      </c>
    </row>
    <row r="39" spans="1:13" ht="12" thickBot="1">
      <c r="A39" s="249" t="s">
        <v>104</v>
      </c>
      <c r="B39" s="250" t="s">
        <v>105</v>
      </c>
      <c r="C39" s="251" t="s">
        <v>28</v>
      </c>
      <c r="D39" s="250"/>
      <c r="E39" s="251">
        <f>'Soil-F'!C12</f>
        <v>17.1</v>
      </c>
      <c r="F39" s="251">
        <f>'Soil-F'!D12</f>
        <v>20.3</v>
      </c>
      <c r="G39" s="265"/>
      <c r="H39" s="251"/>
      <c r="I39" s="260">
        <f>AVERAGE(E39:F39)</f>
        <v>18.700000000000003</v>
      </c>
      <c r="J39" s="253"/>
      <c r="K39" s="252">
        <v>5</v>
      </c>
      <c r="L39" s="253"/>
      <c r="M39" s="254">
        <f>(SUM(I39-K39))</f>
        <v>13.700000000000003</v>
      </c>
    </row>
    <row r="40" spans="3:7" ht="11.25">
      <c r="C40" s="98"/>
      <c r="G40" s="99"/>
    </row>
    <row r="41" spans="5:13" ht="11.25">
      <c r="E41" s="73"/>
      <c r="F41" s="73"/>
      <c r="G41" s="73"/>
      <c r="H41" s="73"/>
      <c r="I41" s="73"/>
      <c r="J41" s="73"/>
      <c r="K41" s="73"/>
      <c r="L41" s="73"/>
      <c r="M41" s="73"/>
    </row>
    <row r="42" spans="5:13" ht="11.25">
      <c r="E42" s="73"/>
      <c r="F42" s="73"/>
      <c r="G42" s="73"/>
      <c r="H42" s="73"/>
      <c r="I42" s="73"/>
      <c r="J42" s="73"/>
      <c r="K42" s="73"/>
      <c r="L42" s="73"/>
      <c r="M42" s="73"/>
    </row>
    <row r="43" spans="5:13" ht="11.25">
      <c r="E43" s="73"/>
      <c r="F43" s="73"/>
      <c r="G43" s="73"/>
      <c r="H43" s="73"/>
      <c r="I43" s="73"/>
      <c r="J43" s="73"/>
      <c r="K43" s="73"/>
      <c r="L43" s="73"/>
      <c r="M43" s="73"/>
    </row>
    <row r="44" spans="5:13" ht="11.25">
      <c r="E44" s="73"/>
      <c r="F44" s="73"/>
      <c r="G44" s="73"/>
      <c r="H44" s="73"/>
      <c r="I44" s="73"/>
      <c r="J44" s="73"/>
      <c r="K44" s="73"/>
      <c r="L44" s="73"/>
      <c r="M44" s="73"/>
    </row>
    <row r="45" spans="5:13" ht="11.25">
      <c r="E45" s="73"/>
      <c r="F45" s="73"/>
      <c r="G45" s="73"/>
      <c r="H45" s="73"/>
      <c r="I45" s="73"/>
      <c r="J45" s="73"/>
      <c r="K45" s="73"/>
      <c r="L45" s="73"/>
      <c r="M45" s="73"/>
    </row>
    <row r="46" spans="5:13" ht="11.25">
      <c r="E46" s="73"/>
      <c r="F46" s="73"/>
      <c r="G46" s="73"/>
      <c r="H46" s="73"/>
      <c r="I46" s="73"/>
      <c r="J46" s="73"/>
      <c r="K46" s="73"/>
      <c r="L46" s="73"/>
      <c r="M46" s="73"/>
    </row>
    <row r="47" spans="5:13" ht="11.25">
      <c r="E47" s="73"/>
      <c r="F47" s="73"/>
      <c r="G47" s="73"/>
      <c r="H47" s="73"/>
      <c r="I47" s="73"/>
      <c r="J47" s="73"/>
      <c r="K47" s="73"/>
      <c r="L47" s="73"/>
      <c r="M47" s="73"/>
    </row>
    <row r="48" spans="5:13" ht="11.25">
      <c r="E48" s="73"/>
      <c r="F48" s="73"/>
      <c r="G48" s="73"/>
      <c r="H48" s="73"/>
      <c r="I48" s="73"/>
      <c r="J48" s="73"/>
      <c r="K48" s="73"/>
      <c r="L48" s="73"/>
      <c r="M48" s="73"/>
    </row>
    <row r="49" spans="5:13" ht="11.25">
      <c r="E49" s="73"/>
      <c r="F49" s="73"/>
      <c r="G49" s="73"/>
      <c r="H49" s="73"/>
      <c r="I49" s="73"/>
      <c r="J49" s="73"/>
      <c r="K49" s="73"/>
      <c r="L49" s="73"/>
      <c r="M49" s="73"/>
    </row>
    <row r="50" spans="5:13" ht="11.25">
      <c r="E50" s="73"/>
      <c r="F50" s="73"/>
      <c r="G50" s="73"/>
      <c r="H50" s="73"/>
      <c r="I50" s="73"/>
      <c r="J50" s="73"/>
      <c r="K50" s="73"/>
      <c r="L50" s="73"/>
      <c r="M50" s="73"/>
    </row>
    <row r="51" spans="5:13" ht="11.25">
      <c r="E51" s="73"/>
      <c r="F51" s="73"/>
      <c r="G51" s="73"/>
      <c r="H51" s="73"/>
      <c r="I51" s="73"/>
      <c r="J51" s="73"/>
      <c r="K51" s="73"/>
      <c r="L51" s="73"/>
      <c r="M51" s="73"/>
    </row>
    <row r="52" spans="5:13" ht="11.25">
      <c r="E52" s="73"/>
      <c r="F52" s="73"/>
      <c r="G52" s="73"/>
      <c r="H52" s="73"/>
      <c r="I52" s="73"/>
      <c r="J52" s="73"/>
      <c r="K52" s="73"/>
      <c r="L52" s="73"/>
      <c r="M52" s="73"/>
    </row>
    <row r="53" spans="5:13" ht="11.25">
      <c r="E53" s="73"/>
      <c r="F53" s="73"/>
      <c r="G53" s="73"/>
      <c r="H53" s="73"/>
      <c r="I53" s="73"/>
      <c r="J53" s="73"/>
      <c r="K53" s="73"/>
      <c r="L53" s="73"/>
      <c r="M53" s="73"/>
    </row>
    <row r="54" spans="5:13" ht="11.25">
      <c r="E54" s="73"/>
      <c r="F54" s="73"/>
      <c r="G54" s="73"/>
      <c r="H54" s="73"/>
      <c r="I54" s="73"/>
      <c r="J54" s="73"/>
      <c r="K54" s="73"/>
      <c r="L54" s="73"/>
      <c r="M54" s="73"/>
    </row>
    <row r="55" spans="5:13" ht="11.25">
      <c r="E55" s="73"/>
      <c r="F55" s="73"/>
      <c r="G55" s="73"/>
      <c r="H55" s="73"/>
      <c r="I55" s="73"/>
      <c r="J55" s="73"/>
      <c r="K55" s="73"/>
      <c r="L55" s="73"/>
      <c r="M55" s="73"/>
    </row>
    <row r="56" spans="5:13" ht="11.25">
      <c r="E56" s="73"/>
      <c r="F56" s="73"/>
      <c r="G56" s="73"/>
      <c r="H56" s="73"/>
      <c r="I56" s="73"/>
      <c r="J56" s="73"/>
      <c r="K56" s="73"/>
      <c r="L56" s="73"/>
      <c r="M56" s="73"/>
    </row>
    <row r="57" spans="5:13" ht="11.25">
      <c r="E57" s="73"/>
      <c r="F57" s="73"/>
      <c r="G57" s="73"/>
      <c r="H57" s="73"/>
      <c r="I57" s="73"/>
      <c r="J57" s="73"/>
      <c r="K57" s="73"/>
      <c r="L57" s="73"/>
      <c r="M57" s="73"/>
    </row>
    <row r="58" spans="5:13" ht="11.25">
      <c r="E58" s="73"/>
      <c r="F58" s="73"/>
      <c r="G58" s="73"/>
      <c r="H58" s="73"/>
      <c r="I58" s="73"/>
      <c r="J58" s="73"/>
      <c r="K58" s="73"/>
      <c r="L58" s="73"/>
      <c r="M58" s="73"/>
    </row>
    <row r="59" spans="2:13" ht="11.25">
      <c r="B59" s="77"/>
      <c r="E59" s="73"/>
      <c r="F59" s="73"/>
      <c r="G59" s="73"/>
      <c r="H59" s="73"/>
      <c r="I59" s="73"/>
      <c r="J59" s="73"/>
      <c r="K59" s="73"/>
      <c r="L59" s="73"/>
      <c r="M59" s="73"/>
    </row>
    <row r="60" spans="5:13" ht="11.25">
      <c r="E60" s="73"/>
      <c r="F60" s="73"/>
      <c r="G60" s="73"/>
      <c r="H60" s="73"/>
      <c r="I60" s="73"/>
      <c r="J60" s="73"/>
      <c r="K60" s="73"/>
      <c r="L60" s="73"/>
      <c r="M60" s="73"/>
    </row>
    <row r="61" spans="5:13" ht="11.25">
      <c r="E61" s="73"/>
      <c r="F61" s="73"/>
      <c r="G61" s="73"/>
      <c r="H61" s="73"/>
      <c r="I61" s="73"/>
      <c r="J61" s="73"/>
      <c r="K61" s="73"/>
      <c r="L61" s="73"/>
      <c r="M61" s="73"/>
    </row>
    <row r="62" spans="5:13" ht="11.25">
      <c r="E62" s="73"/>
      <c r="F62" s="73"/>
      <c r="G62" s="73"/>
      <c r="H62" s="73"/>
      <c r="I62" s="73"/>
      <c r="J62" s="73"/>
      <c r="K62" s="73"/>
      <c r="L62" s="73"/>
      <c r="M62" s="73"/>
    </row>
    <row r="63" spans="5:13" ht="11.25">
      <c r="E63" s="73"/>
      <c r="F63" s="73"/>
      <c r="G63" s="73"/>
      <c r="H63" s="73"/>
      <c r="I63" s="73"/>
      <c r="J63" s="73"/>
      <c r="K63" s="73"/>
      <c r="L63" s="73"/>
      <c r="M63" s="73"/>
    </row>
    <row r="64" spans="5:13" ht="11.25">
      <c r="E64" s="73"/>
      <c r="F64" s="73"/>
      <c r="G64" s="73"/>
      <c r="H64" s="73"/>
      <c r="I64" s="73"/>
      <c r="J64" s="73"/>
      <c r="K64" s="73"/>
      <c r="L64" s="73"/>
      <c r="M64" s="73"/>
    </row>
    <row r="65" spans="5:13" ht="11.25">
      <c r="E65" s="73"/>
      <c r="F65" s="73"/>
      <c r="G65" s="73"/>
      <c r="H65" s="73"/>
      <c r="I65" s="73"/>
      <c r="J65" s="73"/>
      <c r="K65" s="73"/>
      <c r="L65" s="73"/>
      <c r="M65" s="73"/>
    </row>
    <row r="66" spans="5:13" ht="11.25">
      <c r="E66" s="73"/>
      <c r="F66" s="73"/>
      <c r="G66" s="73"/>
      <c r="H66" s="73"/>
      <c r="I66" s="73"/>
      <c r="J66" s="73"/>
      <c r="K66" s="73"/>
      <c r="L66" s="73"/>
      <c r="M66" s="73"/>
    </row>
    <row r="67" spans="5:13" ht="11.25">
      <c r="E67" s="73"/>
      <c r="F67" s="73"/>
      <c r="G67" s="73"/>
      <c r="H67" s="73"/>
      <c r="I67" s="73"/>
      <c r="J67" s="73"/>
      <c r="K67" s="73"/>
      <c r="L67" s="73"/>
      <c r="M67" s="73"/>
    </row>
    <row r="68" spans="5:13" ht="11.25">
      <c r="E68" s="73"/>
      <c r="F68" s="73"/>
      <c r="G68" s="73"/>
      <c r="H68" s="73"/>
      <c r="I68" s="73"/>
      <c r="J68" s="73"/>
      <c r="K68" s="73"/>
      <c r="L68" s="73"/>
      <c r="M68" s="73"/>
    </row>
    <row r="69" spans="5:13" ht="11.25">
      <c r="E69" s="73"/>
      <c r="F69" s="73"/>
      <c r="G69" s="73"/>
      <c r="H69" s="73"/>
      <c r="I69" s="73"/>
      <c r="J69" s="73"/>
      <c r="K69" s="73"/>
      <c r="L69" s="73"/>
      <c r="M69" s="73"/>
    </row>
    <row r="70" spans="5:13" ht="11.25">
      <c r="E70" s="73"/>
      <c r="F70" s="73"/>
      <c r="G70" s="73"/>
      <c r="H70" s="73"/>
      <c r="I70" s="73"/>
      <c r="J70" s="73"/>
      <c r="K70" s="73"/>
      <c r="L70" s="73"/>
      <c r="M70" s="73"/>
    </row>
    <row r="71" spans="5:13" ht="11.25">
      <c r="E71" s="73"/>
      <c r="F71" s="73"/>
      <c r="G71" s="73"/>
      <c r="H71" s="73"/>
      <c r="I71" s="73"/>
      <c r="J71" s="73"/>
      <c r="K71" s="73"/>
      <c r="L71" s="73"/>
      <c r="M71" s="73"/>
    </row>
    <row r="72" spans="5:13" ht="11.25">
      <c r="E72" s="73"/>
      <c r="F72" s="73"/>
      <c r="G72" s="73"/>
      <c r="H72" s="73"/>
      <c r="I72" s="73"/>
      <c r="J72" s="73"/>
      <c r="K72" s="73"/>
      <c r="L72" s="73"/>
      <c r="M72" s="73"/>
    </row>
    <row r="73" spans="5:13" ht="11.25">
      <c r="E73" s="73"/>
      <c r="F73" s="73"/>
      <c r="G73" s="73"/>
      <c r="H73" s="73"/>
      <c r="I73" s="73"/>
      <c r="J73" s="73"/>
      <c r="K73" s="73"/>
      <c r="L73" s="73"/>
      <c r="M73" s="73"/>
    </row>
    <row r="74" spans="5:13" ht="11.25">
      <c r="E74" s="73"/>
      <c r="F74" s="73"/>
      <c r="G74" s="73"/>
      <c r="H74" s="73"/>
      <c r="I74" s="73"/>
      <c r="J74" s="73"/>
      <c r="K74" s="73"/>
      <c r="L74" s="73"/>
      <c r="M74" s="73"/>
    </row>
    <row r="75" spans="5:13" ht="11.25">
      <c r="E75" s="73"/>
      <c r="F75" s="73"/>
      <c r="G75" s="73"/>
      <c r="H75" s="73"/>
      <c r="I75" s="73"/>
      <c r="J75" s="73"/>
      <c r="K75" s="73"/>
      <c r="L75" s="73"/>
      <c r="M75" s="73"/>
    </row>
    <row r="76" spans="5:13" ht="11.25">
      <c r="E76" s="73"/>
      <c r="F76" s="73"/>
      <c r="G76" s="73"/>
      <c r="H76" s="73"/>
      <c r="I76" s="73"/>
      <c r="J76" s="73"/>
      <c r="K76" s="73"/>
      <c r="L76" s="73"/>
      <c r="M76" s="73"/>
    </row>
    <row r="77" spans="5:13" ht="11.25">
      <c r="E77" s="73"/>
      <c r="F77" s="73"/>
      <c r="G77" s="73"/>
      <c r="H77" s="73"/>
      <c r="I77" s="73"/>
      <c r="J77" s="73"/>
      <c r="K77" s="73"/>
      <c r="L77" s="73"/>
      <c r="M77" s="73"/>
    </row>
    <row r="78" spans="5:13" ht="11.25">
      <c r="E78" s="73"/>
      <c r="F78" s="73"/>
      <c r="G78" s="73"/>
      <c r="H78" s="73"/>
      <c r="I78" s="73"/>
      <c r="J78" s="73"/>
      <c r="K78" s="73"/>
      <c r="L78" s="73"/>
      <c r="M78" s="73"/>
    </row>
    <row r="79" spans="5:13" ht="11.25">
      <c r="E79" s="73"/>
      <c r="F79" s="73"/>
      <c r="G79" s="73"/>
      <c r="H79" s="73"/>
      <c r="I79" s="73"/>
      <c r="J79" s="73"/>
      <c r="K79" s="73"/>
      <c r="L79" s="73"/>
      <c r="M79" s="73"/>
    </row>
    <row r="80" spans="5:13" ht="11.25">
      <c r="E80" s="73"/>
      <c r="F80" s="73"/>
      <c r="G80" s="73"/>
      <c r="H80" s="73"/>
      <c r="I80" s="73"/>
      <c r="J80" s="73"/>
      <c r="K80" s="73"/>
      <c r="L80" s="73"/>
      <c r="M80" s="73"/>
    </row>
    <row r="81" spans="5:13" ht="11.25">
      <c r="E81" s="73"/>
      <c r="F81" s="73"/>
      <c r="G81" s="73"/>
      <c r="H81" s="73"/>
      <c r="I81" s="73"/>
      <c r="J81" s="73"/>
      <c r="K81" s="73"/>
      <c r="L81" s="73"/>
      <c r="M81" s="73"/>
    </row>
    <row r="82" spans="5:13" ht="11.25">
      <c r="E82" s="73"/>
      <c r="F82" s="73"/>
      <c r="G82" s="73"/>
      <c r="H82" s="73"/>
      <c r="I82" s="73"/>
      <c r="J82" s="73"/>
      <c r="K82" s="73"/>
      <c r="L82" s="73"/>
      <c r="M82" s="73"/>
    </row>
    <row r="83" spans="5:13" ht="11.25">
      <c r="E83" s="73"/>
      <c r="F83" s="73"/>
      <c r="G83" s="73"/>
      <c r="H83" s="73"/>
      <c r="I83" s="73"/>
      <c r="J83" s="73"/>
      <c r="K83" s="73"/>
      <c r="L83" s="73"/>
      <c r="M83" s="73"/>
    </row>
    <row r="84" spans="5:13" ht="11.25">
      <c r="E84" s="73"/>
      <c r="F84" s="73"/>
      <c r="G84" s="73"/>
      <c r="H84" s="73"/>
      <c r="I84" s="73"/>
      <c r="J84" s="73"/>
      <c r="K84" s="73"/>
      <c r="L84" s="73"/>
      <c r="M84" s="73"/>
    </row>
    <row r="85" spans="5:13" ht="11.25">
      <c r="E85" s="73"/>
      <c r="F85" s="73"/>
      <c r="G85" s="73"/>
      <c r="H85" s="73"/>
      <c r="I85" s="73"/>
      <c r="J85" s="73"/>
      <c r="K85" s="73"/>
      <c r="L85" s="73"/>
      <c r="M85" s="73"/>
    </row>
    <row r="86" spans="5:13" ht="11.25">
      <c r="E86" s="73"/>
      <c r="F86" s="73"/>
      <c r="G86" s="73"/>
      <c r="H86" s="73"/>
      <c r="I86" s="73"/>
      <c r="J86" s="73"/>
      <c r="K86" s="73"/>
      <c r="L86" s="73"/>
      <c r="M86" s="73"/>
    </row>
    <row r="87" spans="5:13" ht="11.25">
      <c r="E87" s="73"/>
      <c r="F87" s="73"/>
      <c r="G87" s="73"/>
      <c r="H87" s="73"/>
      <c r="I87" s="73"/>
      <c r="J87" s="73"/>
      <c r="K87" s="73"/>
      <c r="L87" s="73"/>
      <c r="M87" s="73"/>
    </row>
    <row r="88" spans="5:13" ht="11.25">
      <c r="E88" s="73"/>
      <c r="F88" s="73"/>
      <c r="G88" s="73"/>
      <c r="H88" s="73"/>
      <c r="I88" s="73"/>
      <c r="J88" s="73"/>
      <c r="K88" s="73"/>
      <c r="L88" s="73"/>
      <c r="M88" s="73"/>
    </row>
    <row r="89" spans="5:13" ht="11.25">
      <c r="E89" s="73"/>
      <c r="F89" s="73"/>
      <c r="G89" s="73"/>
      <c r="H89" s="73"/>
      <c r="I89" s="73"/>
      <c r="J89" s="73"/>
      <c r="K89" s="73"/>
      <c r="L89" s="73"/>
      <c r="M89" s="73"/>
    </row>
    <row r="90" spans="5:13" ht="11.25">
      <c r="E90" s="73"/>
      <c r="F90" s="73"/>
      <c r="G90" s="73"/>
      <c r="H90" s="73"/>
      <c r="I90" s="73"/>
      <c r="J90" s="73"/>
      <c r="K90" s="73"/>
      <c r="L90" s="73"/>
      <c r="M90" s="73"/>
    </row>
    <row r="91" spans="5:13" ht="11.25">
      <c r="E91" s="73"/>
      <c r="F91" s="73"/>
      <c r="G91" s="73"/>
      <c r="H91" s="73"/>
      <c r="I91" s="73"/>
      <c r="J91" s="73"/>
      <c r="K91" s="73"/>
      <c r="L91" s="73"/>
      <c r="M91" s="73"/>
    </row>
    <row r="92" spans="5:13" ht="11.25">
      <c r="E92" s="73"/>
      <c r="F92" s="73"/>
      <c r="G92" s="73"/>
      <c r="H92" s="73"/>
      <c r="I92" s="73"/>
      <c r="J92" s="73"/>
      <c r="K92" s="73"/>
      <c r="L92" s="73"/>
      <c r="M92" s="73"/>
    </row>
    <row r="93" spans="5:13" ht="11.25">
      <c r="E93" s="73"/>
      <c r="F93" s="73"/>
      <c r="G93" s="73"/>
      <c r="H93" s="73"/>
      <c r="I93" s="73"/>
      <c r="J93" s="73"/>
      <c r="K93" s="73"/>
      <c r="L93" s="73"/>
      <c r="M93" s="73"/>
    </row>
    <row r="94" spans="5:13" ht="11.25">
      <c r="E94" s="73"/>
      <c r="F94" s="73"/>
      <c r="G94" s="73"/>
      <c r="H94" s="73"/>
      <c r="I94" s="73"/>
      <c r="J94" s="73"/>
      <c r="K94" s="73"/>
      <c r="L94" s="73"/>
      <c r="M94" s="73"/>
    </row>
    <row r="95" spans="5:13" ht="11.25">
      <c r="E95" s="73"/>
      <c r="F95" s="73"/>
      <c r="G95" s="73"/>
      <c r="H95" s="73"/>
      <c r="I95" s="73"/>
      <c r="J95" s="73"/>
      <c r="K95" s="73"/>
      <c r="L95" s="73"/>
      <c r="M95" s="73"/>
    </row>
    <row r="96" spans="5:13" ht="11.25">
      <c r="E96" s="73"/>
      <c r="F96" s="73"/>
      <c r="G96" s="73"/>
      <c r="H96" s="73"/>
      <c r="I96" s="73"/>
      <c r="J96" s="73"/>
      <c r="K96" s="73"/>
      <c r="L96" s="73"/>
      <c r="M96" s="73"/>
    </row>
    <row r="97" spans="5:13" ht="11.25">
      <c r="E97" s="73"/>
      <c r="F97" s="73"/>
      <c r="G97" s="73"/>
      <c r="H97" s="73"/>
      <c r="I97" s="73"/>
      <c r="J97" s="73"/>
      <c r="K97" s="73"/>
      <c r="L97" s="73"/>
      <c r="M97" s="73"/>
    </row>
    <row r="98" spans="5:13" ht="11.25">
      <c r="E98" s="73"/>
      <c r="F98" s="73"/>
      <c r="G98" s="73"/>
      <c r="H98" s="73"/>
      <c r="I98" s="73"/>
      <c r="J98" s="73"/>
      <c r="K98" s="73"/>
      <c r="L98" s="73"/>
      <c r="M98" s="73"/>
    </row>
    <row r="99" spans="5:13" ht="11.25">
      <c r="E99" s="73"/>
      <c r="F99" s="73"/>
      <c r="G99" s="73"/>
      <c r="H99" s="73"/>
      <c r="I99" s="73"/>
      <c r="J99" s="73"/>
      <c r="K99" s="73"/>
      <c r="L99" s="73"/>
      <c r="M99" s="73"/>
    </row>
    <row r="100" spans="5:13" ht="11.25"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5:13" ht="11.25"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5:13" ht="11.25"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5:13" ht="11.25"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5:13" ht="11.25"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5:13" ht="11.25"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5:13" ht="11.25"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5:13" ht="11.25"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5:13" ht="11.25"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5:13" ht="11.25"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5:13" ht="11.25"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5:13" ht="11.25"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5:13" ht="11.25"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5:13" ht="11.25"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5:13" ht="11.25"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5:13" ht="11.25"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5:13" ht="11.25"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5:13" ht="11.25"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5:13" ht="11.25"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5:13" ht="11.25"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5:13" ht="11.25"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5:13" ht="11.25"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5:13" ht="11.25"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5:13" ht="11.25"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5:13" ht="11.25"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5:13" ht="11.25"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5:13" ht="11.25"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5:13" ht="11.25"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5:13" ht="11.25"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5:13" ht="11.25"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5:13" ht="11.25"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5:13" ht="11.25"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5:13" ht="11.25"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5:13" ht="11.25"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5:13" ht="11.25"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5:13" ht="11.25"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5:13" ht="11.25"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5:13" ht="11.25"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5:13" ht="11.25"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5:13" ht="11.25"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5:13" ht="11.25"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5:13" ht="11.25"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5:13" ht="11.25"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5:13" ht="11.25"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5:13" ht="11.25"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5:13" ht="11.25"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5:13" ht="11.25"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5:13" ht="11.25"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5:13" ht="11.25"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5:13" ht="11.25"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5:13" ht="11.25"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5:13" ht="11.25"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5:13" ht="11.25"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5:13" ht="11.25"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5:13" ht="11.25"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5:13" ht="11.25"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5:13" ht="11.25"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5:13" ht="11.25"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5:13" ht="11.25"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5:13" ht="11.25"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5:13" ht="11.25"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5:13" ht="11.25"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5:13" ht="11.25"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5:13" ht="11.25"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5:13" ht="11.25"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5:13" ht="11.25"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5:13" ht="11.25"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5:13" ht="11.25"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5:13" ht="11.25"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5:13" ht="11.25"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5:13" ht="11.25"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5:13" ht="11.25"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5:13" ht="11.25"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5:13" ht="11.25"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5:13" ht="11.25"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5:13" ht="11.25"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5:13" ht="11.25"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5:13" ht="11.25"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5:13" ht="11.25"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5:13" ht="11.25"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5:13" ht="11.25"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5:13" ht="11.25"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5:13" ht="11.25"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5:13" ht="11.25"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5:13" ht="11.25"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5:13" ht="11.25"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5:13" ht="11.25"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5:13" ht="11.25"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5:13" ht="11.25"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5:13" ht="11.25"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5:13" ht="11.25"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5:13" ht="11.25"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5:13" ht="11.25"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5:13" ht="11.25"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5:13" ht="11.25"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5:13" ht="11.25"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5:13" ht="11.25"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5:13" ht="11.25"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5:13" ht="11.25"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5:13" ht="11.25"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5:13" ht="11.25"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5:13" ht="11.25"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5:13" ht="11.25"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5:13" ht="11.25"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5:13" ht="11.25"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5:13" ht="11.25"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5:13" ht="11.25"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5:13" ht="11.25"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5:13" ht="11.25"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5:13" ht="11.25"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5:13" ht="11.25"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5:13" ht="11.25"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5:13" ht="11.25"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5:13" ht="11.25"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5:13" ht="11.25"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5:13" ht="11.25"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5:13" ht="11.25"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5:13" ht="11.25"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5:13" ht="11.25"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5:13" ht="11.25"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5:13" ht="11.25"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5:13" ht="11.25"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5:13" ht="11.25"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5:13" ht="11.25"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5:13" ht="11.25"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5:13" ht="11.25"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5:13" ht="11.25"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5:13" ht="11.25"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5:13" ht="11.25"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5:13" ht="11.25"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5:13" ht="11.25"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5:13" ht="11.25"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5:13" ht="11.25"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5:13" ht="11.25"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5:13" ht="11.25"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5:13" ht="11.25"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5:13" ht="11.25"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5:13" ht="11.25"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5:13" ht="11.25"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5:13" ht="11.25"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5:13" ht="11.25"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5:13" ht="11.25"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5:13" ht="11.25"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5:13" ht="11.25"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5:13" ht="11.25"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5:13" ht="11.25"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5:13" ht="11.25"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5:13" ht="11.25"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5:13" ht="11.25"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5:13" ht="11.25"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5:13" ht="11.25"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5:13" ht="11.25"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5:13" ht="11.25"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5:13" ht="11.25"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5:13" ht="11.25"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5:13" ht="11.25"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5:13" ht="11.25"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5:13" ht="11.25"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5:13" ht="11.25"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5:13" ht="11.25"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5:13" ht="11.25"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5:13" ht="11.25"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5:13" ht="11.25"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5:13" ht="11.25"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5:13" ht="11.25"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5:13" ht="11.25"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5:13" ht="11.25"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5:13" ht="11.25"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5:13" ht="11.25"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5:13" ht="11.25"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5:13" ht="11.25"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5:13" ht="11.25"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5:13" ht="11.25"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5:13" ht="11.25"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5:13" ht="11.25"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5:13" ht="11.25"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5:13" ht="11.25"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5:13" ht="11.25"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5:13" ht="11.25"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5:13" ht="11.25"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5:13" ht="11.25"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5:13" ht="11.25"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5:13" ht="11.25"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5:13" ht="11.25"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5:13" ht="11.25"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5:13" ht="11.25"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5:13" ht="11.25"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5:13" ht="11.25"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5:13" ht="11.25"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5:13" ht="11.25"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5:13" ht="11.25"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5:13" ht="11.25"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5:13" ht="11.25"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5:13" ht="11.25"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5:13" ht="11.25"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5:13" ht="11.25"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5:13" ht="11.25"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5:13" ht="11.25"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5:13" ht="11.25"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5:13" ht="11.25"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5:13" ht="11.25"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5:13" ht="11.25"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5:13" ht="11.25"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5:13" ht="11.25"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5:13" ht="11.25"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5:13" ht="11.25"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5:13" ht="11.25"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5:13" ht="11.25"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5:13" ht="11.25"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5:13" ht="11.25"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5:13" ht="11.25"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5:13" ht="11.25"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5:13" ht="11.25"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5:13" ht="11.25"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5:13" ht="11.25"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5:13" ht="11.25"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5:13" ht="11.25"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5:13" ht="11.25"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5:13" ht="11.25"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5:13" ht="11.25"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5:13" ht="11.25"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5:13" ht="11.25"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5:13" ht="11.25"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5:13" ht="11.25"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5:13" ht="11.25"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5:13" ht="11.25"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5:13" ht="11.25"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5:13" ht="11.25"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5:13" ht="11.25"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5:13" ht="11.25"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5:13" ht="11.25"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5:13" ht="11.25"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5:13" ht="11.25"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5:13" ht="11.25"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5:13" ht="11.25"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5:13" ht="11.25"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5:13" ht="11.25">
      <c r="E336" s="73"/>
      <c r="F336" s="73"/>
      <c r="G336" s="73"/>
      <c r="H336" s="73"/>
      <c r="I336" s="73"/>
      <c r="J336" s="73"/>
      <c r="K336" s="73"/>
      <c r="L336" s="73"/>
      <c r="M336" s="73"/>
    </row>
    <row r="337" spans="5:13" ht="11.25"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5:13" ht="11.25"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5:13" ht="11.25"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5:13" ht="11.25"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5:13" ht="11.25"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5:13" ht="11.25"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5:13" ht="11.25"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5:13" ht="11.25"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5:13" ht="11.25"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5:13" ht="11.25"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5:13" ht="11.25"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5:13" ht="11.25"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5:13" ht="11.25"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5:13" ht="11.25"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5:13" ht="11.25">
      <c r="E351" s="73"/>
      <c r="F351" s="73"/>
      <c r="G351" s="73"/>
      <c r="H351" s="73"/>
      <c r="I351" s="73"/>
      <c r="J351" s="73"/>
      <c r="K351" s="73"/>
      <c r="L351" s="73"/>
      <c r="M351" s="73"/>
    </row>
    <row r="352" spans="5:13" ht="11.25">
      <c r="E352" s="73"/>
      <c r="F352" s="73"/>
      <c r="G352" s="73"/>
      <c r="H352" s="73"/>
      <c r="I352" s="73"/>
      <c r="J352" s="73"/>
      <c r="K352" s="73"/>
      <c r="L352" s="73"/>
      <c r="M352" s="73"/>
    </row>
    <row r="353" spans="5:13" ht="11.25">
      <c r="E353" s="73"/>
      <c r="F353" s="73"/>
      <c r="G353" s="73"/>
      <c r="H353" s="73"/>
      <c r="I353" s="73"/>
      <c r="J353" s="73"/>
      <c r="K353" s="73"/>
      <c r="L353" s="73"/>
      <c r="M353" s="73"/>
    </row>
    <row r="354" spans="5:13" ht="11.25">
      <c r="E354" s="73"/>
      <c r="F354" s="73"/>
      <c r="G354" s="73"/>
      <c r="H354" s="73"/>
      <c r="I354" s="73"/>
      <c r="J354" s="73"/>
      <c r="K354" s="73"/>
      <c r="L354" s="73"/>
      <c r="M354" s="73"/>
    </row>
    <row r="355" spans="5:13" ht="11.25">
      <c r="E355" s="73"/>
      <c r="F355" s="73"/>
      <c r="G355" s="73"/>
      <c r="H355" s="73"/>
      <c r="I355" s="73"/>
      <c r="J355" s="73"/>
      <c r="K355" s="73"/>
      <c r="L355" s="73"/>
      <c r="M355" s="73"/>
    </row>
    <row r="356" spans="5:13" ht="11.25">
      <c r="E356" s="73"/>
      <c r="F356" s="73"/>
      <c r="G356" s="73"/>
      <c r="H356" s="73"/>
      <c r="I356" s="73"/>
      <c r="J356" s="73"/>
      <c r="K356" s="73"/>
      <c r="L356" s="73"/>
      <c r="M356" s="73"/>
    </row>
    <row r="357" spans="5:13" ht="11.25"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5:13" ht="11.25">
      <c r="E358" s="73"/>
      <c r="F358" s="73"/>
      <c r="G358" s="73"/>
      <c r="H358" s="73"/>
      <c r="I358" s="73"/>
      <c r="J358" s="73"/>
      <c r="K358" s="73"/>
      <c r="L358" s="73"/>
      <c r="M358" s="73"/>
    </row>
    <row r="359" spans="5:13" ht="11.25"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5:13" ht="11.25"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5:13" ht="11.25">
      <c r="E361" s="73"/>
      <c r="F361" s="73"/>
      <c r="G361" s="73"/>
      <c r="H361" s="73"/>
      <c r="I361" s="73"/>
      <c r="J361" s="73"/>
      <c r="K361" s="73"/>
      <c r="L361" s="73"/>
      <c r="M361" s="73"/>
    </row>
    <row r="362" spans="5:13" ht="11.25">
      <c r="E362" s="73"/>
      <c r="F362" s="73"/>
      <c r="G362" s="73"/>
      <c r="H362" s="73"/>
      <c r="I362" s="73"/>
      <c r="J362" s="73"/>
      <c r="K362" s="73"/>
      <c r="L362" s="73"/>
      <c r="M362" s="73"/>
    </row>
    <row r="363" spans="5:13" ht="11.25">
      <c r="E363" s="73"/>
      <c r="F363" s="73"/>
      <c r="G363" s="73"/>
      <c r="H363" s="73"/>
      <c r="I363" s="73"/>
      <c r="J363" s="73"/>
      <c r="K363" s="73"/>
      <c r="L363" s="73"/>
      <c r="M363" s="73"/>
    </row>
    <row r="364" spans="5:13" ht="11.25"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5:13" ht="11.25"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5:13" ht="11.25">
      <c r="E366" s="73"/>
      <c r="F366" s="73"/>
      <c r="G366" s="73"/>
      <c r="H366" s="73"/>
      <c r="I366" s="73"/>
      <c r="J366" s="73"/>
      <c r="K366" s="73"/>
      <c r="L366" s="73"/>
      <c r="M366" s="73"/>
    </row>
    <row r="367" spans="5:13" ht="11.25"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5:13" ht="11.25">
      <c r="E368" s="73"/>
      <c r="F368" s="73"/>
      <c r="G368" s="73"/>
      <c r="H368" s="73"/>
      <c r="I368" s="73"/>
      <c r="J368" s="73"/>
      <c r="K368" s="73"/>
      <c r="L368" s="73"/>
      <c r="M368" s="73"/>
    </row>
    <row r="369" spans="5:13" ht="11.25">
      <c r="E369" s="73"/>
      <c r="F369" s="73"/>
      <c r="G369" s="73"/>
      <c r="H369" s="73"/>
      <c r="I369" s="73"/>
      <c r="J369" s="73"/>
      <c r="K369" s="73"/>
      <c r="L369" s="73"/>
      <c r="M369" s="73"/>
    </row>
    <row r="370" spans="5:13" ht="11.25"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5:13" ht="11.25"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5:13" ht="11.25">
      <c r="E372" s="73"/>
      <c r="F372" s="73"/>
      <c r="G372" s="73"/>
      <c r="H372" s="73"/>
      <c r="I372" s="73"/>
      <c r="J372" s="73"/>
      <c r="K372" s="73"/>
      <c r="L372" s="73"/>
      <c r="M372" s="73"/>
    </row>
    <row r="373" spans="5:13" ht="11.25">
      <c r="E373" s="73"/>
      <c r="F373" s="73"/>
      <c r="G373" s="73"/>
      <c r="H373" s="73"/>
      <c r="I373" s="73"/>
      <c r="J373" s="73"/>
      <c r="K373" s="73"/>
      <c r="L373" s="73"/>
      <c r="M373" s="73"/>
    </row>
    <row r="374" spans="5:13" ht="11.25">
      <c r="E374" s="73"/>
      <c r="F374" s="73"/>
      <c r="G374" s="73"/>
      <c r="H374" s="73"/>
      <c r="I374" s="73"/>
      <c r="J374" s="73"/>
      <c r="K374" s="73"/>
      <c r="L374" s="73"/>
      <c r="M374" s="73"/>
    </row>
    <row r="375" spans="5:13" ht="11.25">
      <c r="E375" s="73"/>
      <c r="F375" s="73"/>
      <c r="G375" s="73"/>
      <c r="H375" s="73"/>
      <c r="I375" s="73"/>
      <c r="J375" s="73"/>
      <c r="K375" s="73"/>
      <c r="L375" s="73"/>
      <c r="M375" s="73"/>
    </row>
    <row r="376" spans="5:13" ht="11.25">
      <c r="E376" s="73"/>
      <c r="F376" s="73"/>
      <c r="G376" s="73"/>
      <c r="H376" s="73"/>
      <c r="I376" s="73"/>
      <c r="J376" s="73"/>
      <c r="K376" s="73"/>
      <c r="L376" s="73"/>
      <c r="M376" s="73"/>
    </row>
    <row r="377" spans="5:13" ht="11.25"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5:13" ht="11.25">
      <c r="E378" s="73"/>
      <c r="F378" s="73"/>
      <c r="G378" s="73"/>
      <c r="H378" s="73"/>
      <c r="I378" s="73"/>
      <c r="J378" s="73"/>
      <c r="K378" s="73"/>
      <c r="L378" s="73"/>
      <c r="M378" s="73"/>
    </row>
    <row r="379" spans="5:13" ht="11.25"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5:13" ht="11.25">
      <c r="E380" s="73"/>
      <c r="F380" s="73"/>
      <c r="G380" s="73"/>
      <c r="H380" s="73"/>
      <c r="I380" s="73"/>
      <c r="J380" s="73"/>
      <c r="K380" s="73"/>
      <c r="L380" s="73"/>
      <c r="M380" s="73"/>
    </row>
    <row r="381" spans="5:13" ht="11.25">
      <c r="E381" s="73"/>
      <c r="F381" s="73"/>
      <c r="G381" s="73"/>
      <c r="H381" s="73"/>
      <c r="I381" s="73"/>
      <c r="J381" s="73"/>
      <c r="K381" s="73"/>
      <c r="L381" s="73"/>
      <c r="M381" s="73"/>
    </row>
    <row r="382" spans="5:13" ht="11.25">
      <c r="E382" s="73"/>
      <c r="F382" s="73"/>
      <c r="G382" s="73"/>
      <c r="H382" s="73"/>
      <c r="I382" s="73"/>
      <c r="J382" s="73"/>
      <c r="K382" s="73"/>
      <c r="L382" s="73"/>
      <c r="M382" s="73"/>
    </row>
    <row r="383" spans="5:13" ht="11.25">
      <c r="E383" s="73"/>
      <c r="F383" s="73"/>
      <c r="G383" s="73"/>
      <c r="H383" s="73"/>
      <c r="I383" s="73"/>
      <c r="J383" s="73"/>
      <c r="K383" s="73"/>
      <c r="L383" s="73"/>
      <c r="M383" s="73"/>
    </row>
    <row r="384" spans="5:13" ht="11.25"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5:13" ht="11.25"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5:13" ht="11.25">
      <c r="E386" s="73"/>
      <c r="F386" s="73"/>
      <c r="G386" s="73"/>
      <c r="H386" s="73"/>
      <c r="I386" s="73"/>
      <c r="J386" s="73"/>
      <c r="K386" s="73"/>
      <c r="L386" s="73"/>
      <c r="M386" s="73"/>
    </row>
    <row r="387" spans="5:13" ht="11.25"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5:13" ht="11.25">
      <c r="E388" s="73"/>
      <c r="F388" s="73"/>
      <c r="G388" s="73"/>
      <c r="H388" s="73"/>
      <c r="I388" s="73"/>
      <c r="J388" s="73"/>
      <c r="K388" s="73"/>
      <c r="L388" s="73"/>
      <c r="M388" s="73"/>
    </row>
    <row r="389" spans="5:13" ht="11.25"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5:13" ht="11.25">
      <c r="E390" s="73"/>
      <c r="F390" s="73"/>
      <c r="G390" s="73"/>
      <c r="H390" s="73"/>
      <c r="I390" s="73"/>
      <c r="J390" s="73"/>
      <c r="K390" s="73"/>
      <c r="L390" s="73"/>
      <c r="M390" s="73"/>
    </row>
    <row r="391" spans="5:13" ht="11.25"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5:13" ht="11.25">
      <c r="E392" s="73"/>
      <c r="F392" s="73"/>
      <c r="G392" s="73"/>
      <c r="H392" s="73"/>
      <c r="I392" s="73"/>
      <c r="J392" s="73"/>
      <c r="K392" s="73"/>
      <c r="L392" s="73"/>
      <c r="M392" s="73"/>
    </row>
    <row r="393" spans="5:13" ht="11.25">
      <c r="E393" s="73"/>
      <c r="F393" s="73"/>
      <c r="G393" s="73"/>
      <c r="H393" s="73"/>
      <c r="I393" s="73"/>
      <c r="J393" s="73"/>
      <c r="K393" s="73"/>
      <c r="L393" s="73"/>
      <c r="M393" s="73"/>
    </row>
    <row r="394" spans="5:13" ht="11.25">
      <c r="E394" s="73"/>
      <c r="F394" s="73"/>
      <c r="G394" s="73"/>
      <c r="H394" s="73"/>
      <c r="I394" s="73"/>
      <c r="J394" s="73"/>
      <c r="K394" s="73"/>
      <c r="L394" s="73"/>
      <c r="M394" s="73"/>
    </row>
    <row r="395" spans="5:13" ht="11.25">
      <c r="E395" s="73"/>
      <c r="F395" s="73"/>
      <c r="G395" s="73"/>
      <c r="H395" s="73"/>
      <c r="I395" s="73"/>
      <c r="J395" s="73"/>
      <c r="K395" s="73"/>
      <c r="L395" s="73"/>
      <c r="M395" s="73"/>
    </row>
    <row r="396" spans="5:13" ht="11.25">
      <c r="E396" s="73"/>
      <c r="F396" s="73"/>
      <c r="G396" s="73"/>
      <c r="H396" s="73"/>
      <c r="I396" s="73"/>
      <c r="J396" s="73"/>
      <c r="K396" s="73"/>
      <c r="L396" s="73"/>
      <c r="M396" s="73"/>
    </row>
    <row r="397" spans="5:13" ht="11.25">
      <c r="E397" s="73"/>
      <c r="F397" s="73"/>
      <c r="G397" s="73"/>
      <c r="H397" s="73"/>
      <c r="I397" s="73"/>
      <c r="J397" s="73"/>
      <c r="K397" s="73"/>
      <c r="L397" s="73"/>
      <c r="M397" s="73"/>
    </row>
    <row r="398" spans="5:13" ht="11.25">
      <c r="E398" s="73"/>
      <c r="F398" s="73"/>
      <c r="G398" s="73"/>
      <c r="H398" s="73"/>
      <c r="I398" s="73"/>
      <c r="J398" s="73"/>
      <c r="K398" s="73"/>
      <c r="L398" s="73"/>
      <c r="M398" s="73"/>
    </row>
    <row r="399" spans="5:13" ht="11.25"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5:13" ht="11.25"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5:13" ht="11.25">
      <c r="E401" s="73"/>
      <c r="F401" s="73"/>
      <c r="G401" s="73"/>
      <c r="H401" s="73"/>
      <c r="I401" s="73"/>
      <c r="J401" s="73"/>
      <c r="K401" s="73"/>
      <c r="L401" s="73"/>
      <c r="M401" s="73"/>
    </row>
    <row r="402" spans="5:13" ht="11.25"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5:13" ht="11.25">
      <c r="E403" s="73"/>
      <c r="F403" s="73"/>
      <c r="G403" s="73"/>
      <c r="H403" s="73"/>
      <c r="I403" s="73"/>
      <c r="J403" s="73"/>
      <c r="K403" s="73"/>
      <c r="L403" s="73"/>
      <c r="M403" s="73"/>
    </row>
    <row r="404" spans="5:13" ht="11.25">
      <c r="E404" s="73"/>
      <c r="F404" s="73"/>
      <c r="G404" s="73"/>
      <c r="H404" s="73"/>
      <c r="I404" s="73"/>
      <c r="J404" s="73"/>
      <c r="K404" s="73"/>
      <c r="L404" s="73"/>
      <c r="M404" s="73"/>
    </row>
    <row r="405" spans="5:13" ht="11.25"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5:13" ht="11.25">
      <c r="E406" s="73"/>
      <c r="F406" s="73"/>
      <c r="G406" s="73"/>
      <c r="H406" s="73"/>
      <c r="I406" s="73"/>
      <c r="J406" s="73"/>
      <c r="K406" s="73"/>
      <c r="L406" s="73"/>
      <c r="M406" s="73"/>
    </row>
    <row r="407" spans="5:13" ht="11.25">
      <c r="E407" s="73"/>
      <c r="F407" s="73"/>
      <c r="G407" s="73"/>
      <c r="H407" s="73"/>
      <c r="I407" s="73"/>
      <c r="J407" s="73"/>
      <c r="K407" s="73"/>
      <c r="L407" s="73"/>
      <c r="M407" s="73"/>
    </row>
    <row r="408" spans="5:13" ht="11.25">
      <c r="E408" s="73"/>
      <c r="F408" s="73"/>
      <c r="G408" s="73"/>
      <c r="H408" s="73"/>
      <c r="I408" s="73"/>
      <c r="J408" s="73"/>
      <c r="K408" s="73"/>
      <c r="L408" s="73"/>
      <c r="M408" s="73"/>
    </row>
    <row r="409" spans="5:13" ht="11.25">
      <c r="E409" s="73"/>
      <c r="F409" s="73"/>
      <c r="G409" s="73"/>
      <c r="H409" s="73"/>
      <c r="I409" s="73"/>
      <c r="J409" s="73"/>
      <c r="K409" s="73"/>
      <c r="L409" s="73"/>
      <c r="M409" s="73"/>
    </row>
    <row r="410" spans="5:13" ht="11.25">
      <c r="E410" s="73"/>
      <c r="F410" s="73"/>
      <c r="G410" s="73"/>
      <c r="H410" s="73"/>
      <c r="I410" s="73"/>
      <c r="J410" s="73"/>
      <c r="K410" s="73"/>
      <c r="L410" s="73"/>
      <c r="M410" s="73"/>
    </row>
    <row r="411" spans="5:13" ht="11.25"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5:13" ht="11.25"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5:13" ht="11.25">
      <c r="E413" s="73"/>
      <c r="F413" s="73"/>
      <c r="G413" s="73"/>
      <c r="H413" s="73"/>
      <c r="I413" s="73"/>
      <c r="J413" s="73"/>
      <c r="K413" s="73"/>
      <c r="L413" s="73"/>
      <c r="M413" s="73"/>
    </row>
    <row r="414" spans="5:13" ht="11.25">
      <c r="E414" s="73"/>
      <c r="F414" s="73"/>
      <c r="G414" s="73"/>
      <c r="H414" s="73"/>
      <c r="I414" s="73"/>
      <c r="J414" s="73"/>
      <c r="K414" s="73"/>
      <c r="L414" s="73"/>
      <c r="M414" s="73"/>
    </row>
    <row r="415" spans="5:13" ht="11.25">
      <c r="E415" s="73"/>
      <c r="F415" s="73"/>
      <c r="G415" s="73"/>
      <c r="H415" s="73"/>
      <c r="I415" s="73"/>
      <c r="J415" s="73"/>
      <c r="K415" s="73"/>
      <c r="L415" s="73"/>
      <c r="M415" s="73"/>
    </row>
  </sheetData>
  <mergeCells count="1">
    <mergeCell ref="E1:F1"/>
  </mergeCells>
  <printOptions/>
  <pageMargins left="0.75" right="0.75" top="0.7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TROON GOLF</dc:creator>
  <cp:keywords/>
  <dc:description/>
  <cp:lastModifiedBy>tanaka</cp:lastModifiedBy>
  <cp:lastPrinted>2004-04-06T12:22:29Z</cp:lastPrinted>
  <dcterms:created xsi:type="dcterms:W3CDTF">2002-02-20T04:29:09Z</dcterms:created>
  <dcterms:modified xsi:type="dcterms:W3CDTF">2010-01-21T05:00:25Z</dcterms:modified>
  <cp:category/>
  <cp:version/>
  <cp:contentType/>
  <cp:contentStatus/>
</cp:coreProperties>
</file>